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te\apps\transparencia\articulo8\V\g\2024\"/>
    </mc:Choice>
  </mc:AlternateContent>
  <xr:revisionPtr revIDLastSave="0" documentId="13_ncr:1_{1F57B816-D5B2-4525-9A99-EEBA65EC6940}" xr6:coauthVersionLast="47" xr6:coauthVersionMax="47" xr10:uidLastSave="{00000000-0000-0000-0000-000000000000}"/>
  <bookViews>
    <workbookView xWindow="-120" yWindow="-120" windowWidth="29040" windowHeight="15720" tabRatio="816" firstSheet="1" activeTab="7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 " sheetId="213" r:id="rId6"/>
    <sheet name="SEG. PUBLICA" sheetId="216" r:id="rId7"/>
    <sheet name="PROT.CIVIL" sheetId="217" r:id="rId8"/>
  </sheets>
  <definedNames>
    <definedName name="_xlnm._FilterDatabase" localSheetId="2" hidden="1">BASE!$F$8:$F$104</definedName>
    <definedName name="_xlnm.Print_Area" localSheetId="5">'Apoyos '!$A$32:$AJ$61</definedName>
    <definedName name="_xlnm.Print_Area" localSheetId="2">BASE!$B$1:$M$97</definedName>
    <definedName name="_xlnm.Print_Area" localSheetId="4">PENSIONADOS!$B$1:$AJ$36</definedName>
    <definedName name="_xlnm.Print_Area" localSheetId="7">PROT.CIVIL!$B$2:$M$34</definedName>
    <definedName name="_xlnm.Print_Area" localSheetId="1">REGIDORES!$B$1:$N$25</definedName>
    <definedName name="_xlnm.Print_Area" localSheetId="6">'SEG. PUBLICA'!$B$1:$M$40</definedName>
    <definedName name="SUBSIDIO">tarifa!$F$13:$G$23</definedName>
    <definedName name="TARIFA">tarifa!$B$13:$D$23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216" l="1"/>
  <c r="J36" i="216"/>
  <c r="K36" i="216" s="1"/>
  <c r="H36" i="216"/>
  <c r="H33" i="216"/>
  <c r="H34" i="216"/>
  <c r="L36" i="216" l="1"/>
  <c r="J33" i="216"/>
  <c r="K33" i="216" s="1"/>
  <c r="L33" i="216" s="1"/>
  <c r="J34" i="216"/>
  <c r="K34" i="216" s="1"/>
  <c r="L34" i="216" s="1"/>
  <c r="H104" i="206"/>
  <c r="L104" i="206" s="1"/>
  <c r="H76" i="206" l="1"/>
  <c r="L76" i="206" l="1"/>
  <c r="H30" i="216"/>
  <c r="J30" i="216" s="1"/>
  <c r="K30" i="216" s="1"/>
  <c r="L30" i="216" l="1"/>
  <c r="L13" i="206"/>
  <c r="I95" i="205" l="1"/>
  <c r="H29" i="216" l="1"/>
  <c r="J29" i="216" l="1"/>
  <c r="K29" i="216" s="1"/>
  <c r="L29" i="216" l="1"/>
  <c r="J59" i="206"/>
  <c r="H59" i="206"/>
  <c r="L59" i="206" l="1"/>
  <c r="H53" i="205" l="1"/>
  <c r="H55" i="205" s="1"/>
  <c r="H54" i="205"/>
  <c r="H27" i="217"/>
  <c r="J49" i="206"/>
  <c r="K49" i="206" s="1"/>
  <c r="H49" i="206"/>
  <c r="J54" i="205" l="1"/>
  <c r="K54" i="205" s="1"/>
  <c r="L54" i="205" s="1"/>
  <c r="J27" i="217"/>
  <c r="L49" i="206"/>
  <c r="L27" i="217" l="1"/>
  <c r="J41" i="206" l="1"/>
  <c r="K41" i="206" s="1"/>
  <c r="H41" i="206"/>
  <c r="L41" i="206" l="1"/>
  <c r="J88" i="206"/>
  <c r="K88" i="206" s="1"/>
  <c r="H88" i="206"/>
  <c r="Q23" i="214"/>
  <c r="J23" i="214"/>
  <c r="H23" i="214"/>
  <c r="O23" i="214" s="1"/>
  <c r="L88" i="206" l="1"/>
  <c r="R23" i="214"/>
  <c r="T23" i="214" s="1"/>
  <c r="V23" i="214" s="1"/>
  <c r="X23" i="214" s="1"/>
  <c r="Z23" i="214" s="1"/>
  <c r="AC23" i="214" s="1"/>
  <c r="AH23" i="214" s="1"/>
  <c r="AI23" i="214" s="1"/>
  <c r="H32" i="216"/>
  <c r="J32" i="216" l="1"/>
  <c r="K32" i="216" s="1"/>
  <c r="L32" i="216" s="1"/>
  <c r="J56" i="206" l="1"/>
  <c r="K56" i="206" s="1"/>
  <c r="H56" i="206"/>
  <c r="J40" i="206"/>
  <c r="K40" i="206" s="1"/>
  <c r="H40" i="206"/>
  <c r="J32" i="206"/>
  <c r="K32" i="206" s="1"/>
  <c r="H32" i="206"/>
  <c r="J111" i="206"/>
  <c r="K111" i="206" s="1"/>
  <c r="H111" i="206"/>
  <c r="L56" i="206" l="1"/>
  <c r="L40" i="206"/>
  <c r="L111" i="206"/>
  <c r="L32" i="206" l="1"/>
  <c r="K20" i="215" l="1"/>
  <c r="H31" i="216"/>
  <c r="H28" i="216"/>
  <c r="J28" i="216" s="1"/>
  <c r="K28" i="216" s="1"/>
  <c r="J58" i="206"/>
  <c r="H58" i="206"/>
  <c r="M97" i="205"/>
  <c r="J31" i="216" l="1"/>
  <c r="K31" i="216" s="1"/>
  <c r="L31" i="216" s="1"/>
  <c r="L28" i="216"/>
  <c r="L58" i="206"/>
  <c r="H27" i="216"/>
  <c r="J27" i="216" s="1"/>
  <c r="K27" i="216" s="1"/>
  <c r="H12" i="217"/>
  <c r="M42" i="206"/>
  <c r="H24" i="217"/>
  <c r="J39" i="206"/>
  <c r="K39" i="206" s="1"/>
  <c r="H39" i="206"/>
  <c r="H12" i="215"/>
  <c r="J12" i="215" s="1"/>
  <c r="L12" i="215" s="1"/>
  <c r="M12" i="215" s="1"/>
  <c r="L27" i="216" l="1"/>
  <c r="J12" i="217"/>
  <c r="K12" i="217" s="1"/>
  <c r="L39" i="206"/>
  <c r="H9" i="216"/>
  <c r="H10" i="216"/>
  <c r="H11" i="216"/>
  <c r="H12" i="216"/>
  <c r="H13" i="216"/>
  <c r="H14" i="216"/>
  <c r="H15" i="216"/>
  <c r="H16" i="216"/>
  <c r="H17" i="216"/>
  <c r="H18" i="216"/>
  <c r="H19" i="216"/>
  <c r="H20" i="216"/>
  <c r="H21" i="216"/>
  <c r="H22" i="216"/>
  <c r="H23" i="216"/>
  <c r="H24" i="216"/>
  <c r="H25" i="216"/>
  <c r="H26" i="216"/>
  <c r="H35" i="216"/>
  <c r="H25" i="217"/>
  <c r="H26" i="217"/>
  <c r="H28" i="217"/>
  <c r="H29" i="217"/>
  <c r="H30" i="217"/>
  <c r="H17" i="214"/>
  <c r="H18" i="214"/>
  <c r="H19" i="214"/>
  <c r="H20" i="214"/>
  <c r="H21" i="214"/>
  <c r="H22" i="214"/>
  <c r="H16" i="214"/>
  <c r="H132" i="206"/>
  <c r="H133" i="206"/>
  <c r="H134" i="206"/>
  <c r="H131" i="206"/>
  <c r="H110" i="206"/>
  <c r="H112" i="206"/>
  <c r="H113" i="206"/>
  <c r="H114" i="206"/>
  <c r="H115" i="206"/>
  <c r="H116" i="206"/>
  <c r="H117" i="206"/>
  <c r="H118" i="206"/>
  <c r="H119" i="206"/>
  <c r="H120" i="206"/>
  <c r="H55" i="206"/>
  <c r="H50" i="205"/>
  <c r="H47" i="205"/>
  <c r="H46" i="205"/>
  <c r="H43" i="205"/>
  <c r="H42" i="205"/>
  <c r="H39" i="205"/>
  <c r="H40" i="205" s="1"/>
  <c r="H35" i="205"/>
  <c r="H36" i="205"/>
  <c r="H34" i="205"/>
  <c r="H31" i="205"/>
  <c r="H30" i="205"/>
  <c r="H32" i="205" s="1"/>
  <c r="H24" i="205"/>
  <c r="H25" i="205"/>
  <c r="H26" i="205"/>
  <c r="H27" i="205"/>
  <c r="H23" i="205"/>
  <c r="H20" i="205"/>
  <c r="H19" i="205"/>
  <c r="H16" i="205"/>
  <c r="H17" i="205" s="1"/>
  <c r="H13" i="205"/>
  <c r="H12" i="205"/>
  <c r="H11" i="205"/>
  <c r="H10" i="205"/>
  <c r="H44" i="205" l="1"/>
  <c r="H21" i="205"/>
  <c r="H48" i="205"/>
  <c r="H37" i="205"/>
  <c r="H135" i="206"/>
  <c r="H28" i="205"/>
  <c r="H25" i="214"/>
  <c r="L12" i="217"/>
  <c r="H9" i="205"/>
  <c r="H14" i="205" s="1"/>
  <c r="J13" i="205" l="1"/>
  <c r="K13" i="205" s="1"/>
  <c r="L13" i="205" s="1"/>
  <c r="J9" i="205"/>
  <c r="J25" i="217" l="1"/>
  <c r="J35" i="216"/>
  <c r="J15" i="216"/>
  <c r="J134" i="206"/>
  <c r="J133" i="206"/>
  <c r="J132" i="206"/>
  <c r="J131" i="206"/>
  <c r="J128" i="206"/>
  <c r="J126" i="206"/>
  <c r="J124" i="206"/>
  <c r="J123" i="206"/>
  <c r="J120" i="206"/>
  <c r="J119" i="206"/>
  <c r="J118" i="206"/>
  <c r="J117" i="206"/>
  <c r="J116" i="206"/>
  <c r="J115" i="206"/>
  <c r="J114" i="206"/>
  <c r="J113" i="206"/>
  <c r="J112" i="206"/>
  <c r="J110" i="206"/>
  <c r="J109" i="206"/>
  <c r="J108" i="206"/>
  <c r="J107" i="206"/>
  <c r="J103" i="206"/>
  <c r="J102" i="206"/>
  <c r="J101" i="206"/>
  <c r="J100" i="206"/>
  <c r="J99" i="206"/>
  <c r="J98" i="206"/>
  <c r="J97" i="206"/>
  <c r="J96" i="206"/>
  <c r="J95" i="206"/>
  <c r="J93" i="206"/>
  <c r="J92" i="206"/>
  <c r="J91" i="206"/>
  <c r="J87" i="206"/>
  <c r="J86" i="206"/>
  <c r="J85" i="206"/>
  <c r="J84" i="206"/>
  <c r="J83" i="206"/>
  <c r="J80" i="206"/>
  <c r="J73" i="206"/>
  <c r="J72" i="206"/>
  <c r="J71" i="206"/>
  <c r="J70" i="206"/>
  <c r="J69" i="206"/>
  <c r="J68" i="206"/>
  <c r="J63" i="206"/>
  <c r="J62" i="206"/>
  <c r="J57" i="206"/>
  <c r="J55" i="206"/>
  <c r="J54" i="206"/>
  <c r="J53" i="206"/>
  <c r="J52" i="206"/>
  <c r="J51" i="206"/>
  <c r="J50" i="206"/>
  <c r="J48" i="206"/>
  <c r="J47" i="206"/>
  <c r="J46" i="206"/>
  <c r="J45" i="206"/>
  <c r="J44" i="206"/>
  <c r="J38" i="206"/>
  <c r="J37" i="206"/>
  <c r="J36" i="206"/>
  <c r="J35" i="206"/>
  <c r="J29" i="206"/>
  <c r="J15" i="206"/>
  <c r="J14" i="206"/>
  <c r="J12" i="206"/>
  <c r="J11" i="206"/>
  <c r="J10" i="205"/>
  <c r="J84" i="205"/>
  <c r="J83" i="205"/>
  <c r="J74" i="205"/>
  <c r="J70" i="205"/>
  <c r="J69" i="205"/>
  <c r="J61" i="205"/>
  <c r="J53" i="205"/>
  <c r="J55" i="205" s="1"/>
  <c r="J47" i="205"/>
  <c r="J43" i="205"/>
  <c r="J35" i="205"/>
  <c r="J31" i="205"/>
  <c r="J27" i="205"/>
  <c r="J26" i="205"/>
  <c r="J25" i="205"/>
  <c r="J16" i="205"/>
  <c r="J12" i="205"/>
  <c r="J60" i="206" l="1"/>
  <c r="J42" i="206"/>
  <c r="J89" i="206"/>
  <c r="K10" i="205"/>
  <c r="J30" i="217"/>
  <c r="K30" i="217" s="1"/>
  <c r="J28" i="217"/>
  <c r="J24" i="217"/>
  <c r="H23" i="217"/>
  <c r="J23" i="217" s="1"/>
  <c r="H22" i="217"/>
  <c r="J22" i="217" s="1"/>
  <c r="K22" i="217" s="1"/>
  <c r="H21" i="217"/>
  <c r="H20" i="217"/>
  <c r="H19" i="217"/>
  <c r="J19" i="217" s="1"/>
  <c r="H18" i="217"/>
  <c r="H17" i="217"/>
  <c r="H16" i="217"/>
  <c r="J16" i="217" s="1"/>
  <c r="H15" i="217"/>
  <c r="J15" i="217" s="1"/>
  <c r="H14" i="217"/>
  <c r="J14" i="217" s="1"/>
  <c r="K14" i="217" s="1"/>
  <c r="H13" i="217"/>
  <c r="H11" i="217"/>
  <c r="H10" i="217"/>
  <c r="J10" i="217" s="1"/>
  <c r="H9" i="217"/>
  <c r="H8" i="217"/>
  <c r="K35" i="216"/>
  <c r="H8" i="216"/>
  <c r="H38" i="216" s="1"/>
  <c r="J8" i="217" l="1"/>
  <c r="H32" i="217"/>
  <c r="L14" i="217"/>
  <c r="J29" i="217"/>
  <c r="K29" i="217" s="1"/>
  <c r="J26" i="217"/>
  <c r="J21" i="217"/>
  <c r="K21" i="217" s="1"/>
  <c r="J13" i="217"/>
  <c r="K13" i="217" s="1"/>
  <c r="J18" i="217"/>
  <c r="K18" i="217" s="1"/>
  <c r="J20" i="217"/>
  <c r="K20" i="217" s="1"/>
  <c r="L15" i="217"/>
  <c r="J17" i="217"/>
  <c r="K17" i="217" s="1"/>
  <c r="J11" i="217"/>
  <c r="K11" i="217" s="1"/>
  <c r="J9" i="217"/>
  <c r="K9" i="217" s="1"/>
  <c r="J22" i="216"/>
  <c r="K22" i="216" s="1"/>
  <c r="J24" i="216"/>
  <c r="K24" i="216" s="1"/>
  <c r="J25" i="216"/>
  <c r="K25" i="216" s="1"/>
  <c r="J23" i="216"/>
  <c r="K23" i="216" s="1"/>
  <c r="J26" i="216"/>
  <c r="K26" i="216" s="1"/>
  <c r="J21" i="216"/>
  <c r="K21" i="216" s="1"/>
  <c r="J20" i="216"/>
  <c r="K20" i="216" s="1"/>
  <c r="J19" i="216"/>
  <c r="K19" i="216" s="1"/>
  <c r="J18" i="216"/>
  <c r="K18" i="216" s="1"/>
  <c r="J17" i="216"/>
  <c r="K17" i="216" s="1"/>
  <c r="J16" i="216"/>
  <c r="K16" i="216" s="1"/>
  <c r="J14" i="216"/>
  <c r="K14" i="216" s="1"/>
  <c r="J13" i="216"/>
  <c r="K13" i="216" s="1"/>
  <c r="J12" i="216"/>
  <c r="K12" i="216" s="1"/>
  <c r="J11" i="216"/>
  <c r="K11" i="216" s="1"/>
  <c r="J10" i="216"/>
  <c r="K10" i="216" s="1"/>
  <c r="J9" i="216"/>
  <c r="K9" i="216" s="1"/>
  <c r="J8" i="216"/>
  <c r="L35" i="216"/>
  <c r="L10" i="205"/>
  <c r="L8" i="217"/>
  <c r="L17" i="217"/>
  <c r="L30" i="217"/>
  <c r="L22" i="217"/>
  <c r="K15" i="217"/>
  <c r="K23" i="217"/>
  <c r="L23" i="217"/>
  <c r="K8" i="217"/>
  <c r="K10" i="217"/>
  <c r="K19" i="217"/>
  <c r="K28" i="217"/>
  <c r="K16" i="217"/>
  <c r="K24" i="217"/>
  <c r="K15" i="216"/>
  <c r="J38" i="216" l="1"/>
  <c r="L12" i="216"/>
  <c r="L19" i="216"/>
  <c r="J32" i="217"/>
  <c r="L20" i="217"/>
  <c r="K32" i="217"/>
  <c r="L26" i="217"/>
  <c r="I32" i="217"/>
  <c r="L29" i="217"/>
  <c r="L16" i="216"/>
  <c r="L23" i="216"/>
  <c r="L22" i="216"/>
  <c r="K8" i="216"/>
  <c r="K38" i="216" s="1"/>
  <c r="L18" i="216"/>
  <c r="L21" i="216"/>
  <c r="L17" i="216"/>
  <c r="L14" i="216"/>
  <c r="L24" i="216"/>
  <c r="L10" i="216"/>
  <c r="L9" i="217"/>
  <c r="L18" i="217"/>
  <c r="L11" i="217"/>
  <c r="L13" i="216"/>
  <c r="L11" i="216"/>
  <c r="L20" i="216"/>
  <c r="L26" i="216"/>
  <c r="L21" i="217"/>
  <c r="L13" i="217"/>
  <c r="L16" i="217"/>
  <c r="L10" i="217"/>
  <c r="L28" i="217"/>
  <c r="L19" i="217"/>
  <c r="L9" i="216"/>
  <c r="L25" i="216"/>
  <c r="L15" i="216"/>
  <c r="L24" i="217"/>
  <c r="L43" i="217" l="1"/>
  <c r="L41" i="217"/>
  <c r="L47" i="216"/>
  <c r="L32" i="217"/>
  <c r="L8" i="216"/>
  <c r="L49" i="216" l="1"/>
  <c r="L50" i="216" s="1"/>
  <c r="L38" i="216"/>
  <c r="L44" i="217"/>
  <c r="L46" i="217" s="1"/>
  <c r="H9" i="206"/>
  <c r="L52" i="216" l="1"/>
  <c r="E42" i="215"/>
  <c r="J9" i="206"/>
  <c r="K9" i="206" s="1"/>
  <c r="K128" i="206"/>
  <c r="H128" i="206"/>
  <c r="L128" i="206" l="1"/>
  <c r="L9" i="206"/>
  <c r="N20" i="215" l="1"/>
  <c r="H19" i="215"/>
  <c r="J19" i="215" s="1"/>
  <c r="H18" i="215"/>
  <c r="J18" i="215" s="1"/>
  <c r="H17" i="215"/>
  <c r="H16" i="215"/>
  <c r="H15" i="215"/>
  <c r="J15" i="215" s="1"/>
  <c r="H14" i="215"/>
  <c r="H13" i="215"/>
  <c r="H11" i="215"/>
  <c r="J11" i="215" s="1"/>
  <c r="H10" i="215"/>
  <c r="K55" i="206"/>
  <c r="H57" i="206"/>
  <c r="J10" i="215" l="1"/>
  <c r="H20" i="215"/>
  <c r="J13" i="215"/>
  <c r="L13" i="215" s="1"/>
  <c r="M13" i="215" s="1"/>
  <c r="J17" i="215"/>
  <c r="L17" i="215" s="1"/>
  <c r="M17" i="215" s="1"/>
  <c r="J14" i="215"/>
  <c r="L14" i="215" s="1"/>
  <c r="M14" i="215" s="1"/>
  <c r="J16" i="215"/>
  <c r="L16" i="215" s="1"/>
  <c r="M16" i="215" s="1"/>
  <c r="L18" i="215"/>
  <c r="M18" i="215" s="1"/>
  <c r="L55" i="206"/>
  <c r="L15" i="215"/>
  <c r="M15" i="215" s="1"/>
  <c r="L19" i="215"/>
  <c r="M19" i="215" s="1"/>
  <c r="L57" i="206"/>
  <c r="J20" i="215" l="1"/>
  <c r="L11" i="215"/>
  <c r="M11" i="215" s="1"/>
  <c r="L10" i="215"/>
  <c r="L20" i="215" l="1"/>
  <c r="M10" i="215"/>
  <c r="M20" i="215" s="1"/>
  <c r="M32" i="215" l="1"/>
  <c r="H75" i="206"/>
  <c r="K100" i="206"/>
  <c r="H100" i="206"/>
  <c r="L100" i="206" s="1"/>
  <c r="H29" i="206"/>
  <c r="J75" i="206" l="1"/>
  <c r="K75" i="206" s="1"/>
  <c r="M34" i="215"/>
  <c r="K29" i="206"/>
  <c r="L29" i="206" s="1"/>
  <c r="K27" i="205"/>
  <c r="L75" i="206" l="1"/>
  <c r="L27" i="205"/>
  <c r="M36" i="215"/>
  <c r="H74" i="206"/>
  <c r="K103" i="206"/>
  <c r="H103" i="206"/>
  <c r="L103" i="206" l="1"/>
  <c r="J74" i="206"/>
  <c r="K74" i="206" l="1"/>
  <c r="L74" i="206" s="1"/>
  <c r="J77" i="206"/>
  <c r="H25" i="206"/>
  <c r="M26" i="206"/>
  <c r="G66" i="213"/>
  <c r="H127" i="206"/>
  <c r="K48" i="206"/>
  <c r="H48" i="206"/>
  <c r="J127" i="206" l="1"/>
  <c r="K127" i="206" s="1"/>
  <c r="L127" i="206" s="1"/>
  <c r="J25" i="206"/>
  <c r="K25" i="206" s="1"/>
  <c r="L48" i="206"/>
  <c r="G69" i="213"/>
  <c r="G54" i="213"/>
  <c r="L25" i="206" l="1"/>
  <c r="F49" i="213" l="1"/>
  <c r="H31" i="206" l="1"/>
  <c r="AG25" i="214"/>
  <c r="AF25" i="214"/>
  <c r="AE25" i="214"/>
  <c r="AD25" i="214"/>
  <c r="AB25" i="214"/>
  <c r="N25" i="214"/>
  <c r="M25" i="214"/>
  <c r="L25" i="214"/>
  <c r="K25" i="214"/>
  <c r="I25" i="214"/>
  <c r="Q22" i="214"/>
  <c r="J22" i="214"/>
  <c r="O22" i="214" s="1"/>
  <c r="Q21" i="214"/>
  <c r="J21" i="214"/>
  <c r="Q20" i="214"/>
  <c r="J20" i="214"/>
  <c r="O20" i="214" s="1"/>
  <c r="Q19" i="214"/>
  <c r="J19" i="214"/>
  <c r="Q18" i="214"/>
  <c r="J18" i="214"/>
  <c r="Q17" i="214"/>
  <c r="J17" i="214"/>
  <c r="Q16" i="214"/>
  <c r="J16" i="214"/>
  <c r="O16" i="214" s="1"/>
  <c r="F53" i="213"/>
  <c r="F50" i="213"/>
  <c r="G21" i="213"/>
  <c r="F20" i="213"/>
  <c r="G16" i="213"/>
  <c r="G10" i="213"/>
  <c r="J31" i="206" l="1"/>
  <c r="K31" i="206" s="1"/>
  <c r="R17" i="214"/>
  <c r="T17" i="214" s="1"/>
  <c r="G22" i="213"/>
  <c r="R21" i="214"/>
  <c r="R19" i="214"/>
  <c r="R22" i="214"/>
  <c r="T22" i="214" s="1"/>
  <c r="AK9" i="213"/>
  <c r="Q25" i="214"/>
  <c r="O17" i="214"/>
  <c r="R16" i="214"/>
  <c r="R18" i="214"/>
  <c r="O18" i="214"/>
  <c r="R20" i="214"/>
  <c r="O21" i="214"/>
  <c r="O19" i="214"/>
  <c r="J25" i="214"/>
  <c r="L31" i="206" l="1"/>
  <c r="T21" i="214"/>
  <c r="V21" i="214" s="1"/>
  <c r="X21" i="214" s="1"/>
  <c r="Z21" i="214" s="1"/>
  <c r="AC21" i="214" s="1"/>
  <c r="AH21" i="214" s="1"/>
  <c r="AI21" i="214" s="1"/>
  <c r="T18" i="214"/>
  <c r="R25" i="214"/>
  <c r="T19" i="214"/>
  <c r="O25" i="214"/>
  <c r="V17" i="214"/>
  <c r="X17" i="214" s="1"/>
  <c r="Z17" i="214" s="1"/>
  <c r="AC17" i="214" s="1"/>
  <c r="AH17" i="214" s="1"/>
  <c r="AI17" i="214" s="1"/>
  <c r="V22" i="214"/>
  <c r="X22" i="214" s="1"/>
  <c r="Z22" i="214" s="1"/>
  <c r="AC22" i="214" s="1"/>
  <c r="AH22" i="214" s="1"/>
  <c r="AI22" i="214" s="1"/>
  <c r="T16" i="214"/>
  <c r="T20" i="214"/>
  <c r="W25" i="214"/>
  <c r="V19" i="214" l="1"/>
  <c r="X19" i="214" s="1"/>
  <c r="Z19" i="214" s="1"/>
  <c r="AC19" i="214" s="1"/>
  <c r="AH19" i="214" s="1"/>
  <c r="AI19" i="214" s="1"/>
  <c r="Y25" i="214"/>
  <c r="V18" i="214"/>
  <c r="X18" i="214" s="1"/>
  <c r="Z18" i="214" s="1"/>
  <c r="AC18" i="214" s="1"/>
  <c r="AH18" i="214" s="1"/>
  <c r="AI18" i="214" s="1"/>
  <c r="U25" i="214"/>
  <c r="V20" i="214"/>
  <c r="X20" i="214" s="1"/>
  <c r="Z20" i="214" s="1"/>
  <c r="AC20" i="214" s="1"/>
  <c r="AH20" i="214" s="1"/>
  <c r="AI20" i="214" s="1"/>
  <c r="T25" i="214"/>
  <c r="V16" i="214"/>
  <c r="S25" i="214"/>
  <c r="X16" i="214" l="1"/>
  <c r="V25" i="214"/>
  <c r="X25" i="214" l="1"/>
  <c r="Z16" i="214"/>
  <c r="Z25" i="214" l="1"/>
  <c r="AC16" i="214"/>
  <c r="AC25" i="214" l="1"/>
  <c r="AH16" i="214"/>
  <c r="AH25" i="214" l="1"/>
  <c r="AL25" i="214" s="1"/>
  <c r="AI16" i="214"/>
  <c r="AI25" i="214" s="1"/>
  <c r="AI39" i="214" l="1"/>
  <c r="AI41" i="214" l="1"/>
  <c r="K110" i="206"/>
  <c r="K112" i="206"/>
  <c r="L110" i="206" l="1"/>
  <c r="L112" i="206"/>
  <c r="H125" i="206" l="1"/>
  <c r="H107" i="206"/>
  <c r="H96" i="206"/>
  <c r="H95" i="206"/>
  <c r="H92" i="206"/>
  <c r="H87" i="206"/>
  <c r="H80" i="206"/>
  <c r="H70" i="206"/>
  <c r="H64" i="206"/>
  <c r="H63" i="206"/>
  <c r="H51" i="206"/>
  <c r="H54" i="206"/>
  <c r="H53" i="206"/>
  <c r="H52" i="206"/>
  <c r="H24" i="206"/>
  <c r="H19" i="206"/>
  <c r="H94" i="205"/>
  <c r="J94" i="205" s="1"/>
  <c r="J95" i="205" s="1"/>
  <c r="H83" i="205"/>
  <c r="H80" i="205"/>
  <c r="J80" i="205" s="1"/>
  <c r="H77" i="205"/>
  <c r="J77" i="205" s="1"/>
  <c r="H62" i="205"/>
  <c r="J62" i="205" s="1"/>
  <c r="H61" i="205"/>
  <c r="H60" i="205"/>
  <c r="J60" i="205" s="1"/>
  <c r="H57" i="205"/>
  <c r="J36" i="205"/>
  <c r="J34" i="205"/>
  <c r="J30" i="205"/>
  <c r="J24" i="205"/>
  <c r="J20" i="205"/>
  <c r="H140" i="206"/>
  <c r="K132" i="206"/>
  <c r="K131" i="206"/>
  <c r="K124" i="206"/>
  <c r="K120" i="206"/>
  <c r="K119" i="206"/>
  <c r="K118" i="206"/>
  <c r="K117" i="206"/>
  <c r="K115" i="206"/>
  <c r="K114" i="206"/>
  <c r="K113" i="206"/>
  <c r="K109" i="206"/>
  <c r="K108" i="206"/>
  <c r="K107" i="206"/>
  <c r="K102" i="206"/>
  <c r="K101" i="206"/>
  <c r="K99" i="206"/>
  <c r="K97" i="206"/>
  <c r="K96" i="206"/>
  <c r="K95" i="206"/>
  <c r="K93" i="206"/>
  <c r="K92" i="206"/>
  <c r="K91" i="206"/>
  <c r="K86" i="206"/>
  <c r="K85" i="206"/>
  <c r="K84" i="206"/>
  <c r="K83" i="206"/>
  <c r="K73" i="206"/>
  <c r="K70" i="206"/>
  <c r="K71" i="206"/>
  <c r="K72" i="206"/>
  <c r="K69" i="206"/>
  <c r="K68" i="206"/>
  <c r="K63" i="206"/>
  <c r="K62" i="206"/>
  <c r="K50" i="206"/>
  <c r="K47" i="206"/>
  <c r="K45" i="206"/>
  <c r="K44" i="206"/>
  <c r="K36" i="206"/>
  <c r="K37" i="206"/>
  <c r="K38" i="206"/>
  <c r="L92" i="206" l="1"/>
  <c r="L95" i="206"/>
  <c r="L96" i="206"/>
  <c r="K77" i="206"/>
  <c r="J57" i="205"/>
  <c r="J19" i="206"/>
  <c r="K19" i="206" s="1"/>
  <c r="H20" i="206"/>
  <c r="J140" i="206"/>
  <c r="K140" i="206" s="1"/>
  <c r="J125" i="206"/>
  <c r="K125" i="206" s="1"/>
  <c r="L125" i="206" s="1"/>
  <c r="J64" i="206"/>
  <c r="K64" i="206" s="1"/>
  <c r="J24" i="206"/>
  <c r="K24" i="206" s="1"/>
  <c r="K54" i="206"/>
  <c r="H95" i="205"/>
  <c r="K126" i="206"/>
  <c r="K51" i="206"/>
  <c r="K35" i="206"/>
  <c r="K42" i="206" s="1"/>
  <c r="K123" i="206"/>
  <c r="K53" i="206"/>
  <c r="K116" i="206"/>
  <c r="K52" i="206"/>
  <c r="K87" i="206"/>
  <c r="K89" i="206" s="1"/>
  <c r="K129" i="206" l="1"/>
  <c r="J129" i="206"/>
  <c r="L54" i="206"/>
  <c r="L51" i="206"/>
  <c r="H16" i="206"/>
  <c r="H15" i="206"/>
  <c r="H12" i="206"/>
  <c r="K15" i="206"/>
  <c r="K14" i="206"/>
  <c r="K12" i="206"/>
  <c r="K11" i="206"/>
  <c r="K94" i="205"/>
  <c r="K95" i="205" s="1"/>
  <c r="H87" i="205"/>
  <c r="K83" i="205"/>
  <c r="K80" i="205"/>
  <c r="K77" i="205"/>
  <c r="K74" i="205"/>
  <c r="K69" i="205"/>
  <c r="K70" i="205"/>
  <c r="K62" i="205"/>
  <c r="K61" i="205"/>
  <c r="K60" i="205"/>
  <c r="J87" i="205" l="1"/>
  <c r="J16" i="206"/>
  <c r="K87" i="205" l="1"/>
  <c r="K89" i="205" s="1"/>
  <c r="I141" i="206"/>
  <c r="J141" i="206"/>
  <c r="J121" i="206"/>
  <c r="I20" i="206"/>
  <c r="J20" i="206"/>
  <c r="K141" i="206"/>
  <c r="L116" i="206"/>
  <c r="L114" i="206"/>
  <c r="L107" i="206"/>
  <c r="L87" i="206"/>
  <c r="K80" i="206"/>
  <c r="L80" i="206" s="1"/>
  <c r="L64" i="206"/>
  <c r="L63" i="206"/>
  <c r="L53" i="206"/>
  <c r="L52" i="206"/>
  <c r="L24" i="206"/>
  <c r="L19" i="206"/>
  <c r="K16" i="206"/>
  <c r="L16" i="206" s="1"/>
  <c r="L15" i="206"/>
  <c r="L12" i="206"/>
  <c r="H137" i="206"/>
  <c r="L94" i="205"/>
  <c r="L95" i="205" s="1"/>
  <c r="L83" i="205"/>
  <c r="L80" i="205"/>
  <c r="L77" i="205"/>
  <c r="L78" i="205" s="1"/>
  <c r="L62" i="205"/>
  <c r="L61" i="205"/>
  <c r="L60" i="205"/>
  <c r="K57" i="205"/>
  <c r="L57" i="205" s="1"/>
  <c r="K36" i="205"/>
  <c r="L36" i="205" s="1"/>
  <c r="K35" i="205"/>
  <c r="K34" i="205"/>
  <c r="L34" i="205" s="1"/>
  <c r="K31" i="205"/>
  <c r="L31" i="205" s="1"/>
  <c r="K30" i="205"/>
  <c r="L30" i="205" s="1"/>
  <c r="K26" i="205"/>
  <c r="L26" i="205" s="1"/>
  <c r="K25" i="205"/>
  <c r="K24" i="205"/>
  <c r="L24" i="205" s="1"/>
  <c r="K20" i="205"/>
  <c r="L20" i="205" s="1"/>
  <c r="K12" i="205"/>
  <c r="K9" i="205"/>
  <c r="J42" i="205"/>
  <c r="J46" i="205"/>
  <c r="J50" i="205"/>
  <c r="I81" i="205"/>
  <c r="L32" i="205" l="1"/>
  <c r="H138" i="206"/>
  <c r="J137" i="206"/>
  <c r="J39" i="205"/>
  <c r="K39" i="205" s="1"/>
  <c r="J23" i="205"/>
  <c r="J28" i="205" s="1"/>
  <c r="J19" i="205"/>
  <c r="K19" i="205" s="1"/>
  <c r="L20" i="206"/>
  <c r="L35" i="205"/>
  <c r="K32" i="205"/>
  <c r="K43" i="205"/>
  <c r="K46" i="205"/>
  <c r="I138" i="206"/>
  <c r="K42" i="205"/>
  <c r="K50" i="205"/>
  <c r="K20" i="206"/>
  <c r="L140" i="206"/>
  <c r="L141" i="206" s="1"/>
  <c r="K121" i="206"/>
  <c r="L70" i="206"/>
  <c r="L47" i="205"/>
  <c r="L25" i="205"/>
  <c r="K81" i="205"/>
  <c r="L81" i="205"/>
  <c r="K78" i="205"/>
  <c r="I78" i="205"/>
  <c r="I32" i="205"/>
  <c r="L37" i="205" l="1"/>
  <c r="K23" i="205"/>
  <c r="K28" i="205" s="1"/>
  <c r="L42" i="205"/>
  <c r="L39" i="205"/>
  <c r="L40" i="205" s="1"/>
  <c r="L43" i="205"/>
  <c r="L46" i="205"/>
  <c r="L48" i="205" s="1"/>
  <c r="L19" i="205"/>
  <c r="L21" i="205" s="1"/>
  <c r="L50" i="205"/>
  <c r="L51" i="205" s="1"/>
  <c r="K137" i="206"/>
  <c r="J138" i="206"/>
  <c r="J81" i="205"/>
  <c r="J32" i="205"/>
  <c r="J78" i="205"/>
  <c r="M60" i="206"/>
  <c r="L44" i="205" l="1"/>
  <c r="L23" i="205"/>
  <c r="L28" i="205" s="1"/>
  <c r="K138" i="206"/>
  <c r="L137" i="206"/>
  <c r="L138" i="206" s="1"/>
  <c r="M81" i="206"/>
  <c r="H38" i="206"/>
  <c r="H36" i="206"/>
  <c r="M33" i="206"/>
  <c r="M17" i="206"/>
  <c r="H81" i="205"/>
  <c r="H78" i="205"/>
  <c r="H79" i="206"/>
  <c r="H81" i="206" s="1"/>
  <c r="M141" i="206"/>
  <c r="H141" i="206"/>
  <c r="M138" i="206"/>
  <c r="M135" i="206"/>
  <c r="M129" i="206"/>
  <c r="M121" i="206"/>
  <c r="M105" i="206"/>
  <c r="M89" i="206"/>
  <c r="M77" i="206"/>
  <c r="M66" i="206"/>
  <c r="M20" i="206"/>
  <c r="J79" i="206" l="1"/>
  <c r="L36" i="206"/>
  <c r="I81" i="206"/>
  <c r="L38" i="206"/>
  <c r="H65" i="206"/>
  <c r="J65" i="206" s="1"/>
  <c r="K79" i="206" l="1"/>
  <c r="J81" i="206"/>
  <c r="K81" i="206" l="1"/>
  <c r="L79" i="206"/>
  <c r="L81" i="206" s="1"/>
  <c r="K65" i="206"/>
  <c r="K66" i="206" s="1"/>
  <c r="J66" i="206"/>
  <c r="L65" i="206" l="1"/>
  <c r="H45" i="206"/>
  <c r="H46" i="206"/>
  <c r="H47" i="206"/>
  <c r="H50" i="206"/>
  <c r="L47" i="206" l="1"/>
  <c r="L45" i="206"/>
  <c r="L50" i="206"/>
  <c r="H73" i="206"/>
  <c r="L73" i="206" l="1"/>
  <c r="K46" i="206"/>
  <c r="K60" i="206" s="1"/>
  <c r="L46" i="206" l="1"/>
  <c r="I40" i="205" l="1"/>
  <c r="K40" i="205"/>
  <c r="H68" i="206"/>
  <c r="J40" i="205" l="1"/>
  <c r="L68" i="206" l="1"/>
  <c r="H71" i="206"/>
  <c r="L71" i="206" l="1"/>
  <c r="L131" i="206" l="1"/>
  <c r="H8" i="206"/>
  <c r="H123" i="206"/>
  <c r="H124" i="206"/>
  <c r="L124" i="206" s="1"/>
  <c r="H126" i="206"/>
  <c r="L126" i="206" s="1"/>
  <c r="H108" i="206"/>
  <c r="H109" i="206"/>
  <c r="H93" i="206"/>
  <c r="L93" i="206" s="1"/>
  <c r="H94" i="206"/>
  <c r="H97" i="206"/>
  <c r="L97" i="206" s="1"/>
  <c r="H98" i="206"/>
  <c r="H99" i="206"/>
  <c r="L99" i="206" s="1"/>
  <c r="H101" i="206"/>
  <c r="L101" i="206" s="1"/>
  <c r="H102" i="206"/>
  <c r="L102" i="206" s="1"/>
  <c r="H91" i="206"/>
  <c r="H84" i="206"/>
  <c r="H85" i="206"/>
  <c r="H86" i="206"/>
  <c r="H83" i="206"/>
  <c r="H69" i="206"/>
  <c r="H77" i="206" s="1"/>
  <c r="H72" i="206"/>
  <c r="H62" i="206"/>
  <c r="H66" i="206" s="1"/>
  <c r="H44" i="206"/>
  <c r="H60" i="206" s="1"/>
  <c r="H35" i="206"/>
  <c r="H42" i="206" s="1"/>
  <c r="H37" i="206"/>
  <c r="H30" i="206"/>
  <c r="H28" i="206"/>
  <c r="H22" i="206"/>
  <c r="H26" i="206" s="1"/>
  <c r="H23" i="206"/>
  <c r="J23" i="206" s="1"/>
  <c r="H10" i="206"/>
  <c r="J10" i="206" s="1"/>
  <c r="H11" i="206"/>
  <c r="H14" i="206"/>
  <c r="L9" i="205"/>
  <c r="H91" i="205"/>
  <c r="J91" i="205" s="1"/>
  <c r="H88" i="205"/>
  <c r="H89" i="205" s="1"/>
  <c r="L87" i="205"/>
  <c r="H84" i="205"/>
  <c r="H85" i="205" s="1"/>
  <c r="H74" i="205"/>
  <c r="H73" i="205"/>
  <c r="H69" i="205"/>
  <c r="H70" i="205"/>
  <c r="H68" i="205"/>
  <c r="H65" i="205"/>
  <c r="J65" i="205" s="1"/>
  <c r="H59" i="205"/>
  <c r="H58" i="205"/>
  <c r="H89" i="206" l="1"/>
  <c r="H105" i="206"/>
  <c r="H129" i="206"/>
  <c r="H75" i="205"/>
  <c r="H63" i="205"/>
  <c r="H71" i="205"/>
  <c r="H121" i="206"/>
  <c r="H17" i="206"/>
  <c r="J30" i="206"/>
  <c r="K30" i="206" s="1"/>
  <c r="H33" i="206"/>
  <c r="K98" i="206"/>
  <c r="L98" i="206" s="1"/>
  <c r="J94" i="206"/>
  <c r="J105" i="206" s="1"/>
  <c r="J59" i="205"/>
  <c r="K59" i="205" s="1"/>
  <c r="J68" i="205"/>
  <c r="K68" i="205" s="1"/>
  <c r="J73" i="205"/>
  <c r="K73" i="205" s="1"/>
  <c r="J58" i="205"/>
  <c r="K58" i="205" s="1"/>
  <c r="J88" i="205"/>
  <c r="J89" i="205" s="1"/>
  <c r="J28" i="206"/>
  <c r="J33" i="206" s="1"/>
  <c r="J22" i="206"/>
  <c r="J8" i="206"/>
  <c r="J17" i="206" s="1"/>
  <c r="J11" i="205"/>
  <c r="J14" i="205" s="1"/>
  <c r="I66" i="206"/>
  <c r="I60" i="206"/>
  <c r="K16" i="205"/>
  <c r="L120" i="206"/>
  <c r="K84" i="205"/>
  <c r="K65" i="205"/>
  <c r="L85" i="206"/>
  <c r="L84" i="206"/>
  <c r="L115" i="206"/>
  <c r="I89" i="205"/>
  <c r="L117" i="206"/>
  <c r="L70" i="205"/>
  <c r="K133" i="206"/>
  <c r="L113" i="206"/>
  <c r="L12" i="205"/>
  <c r="L69" i="205"/>
  <c r="L30" i="206"/>
  <c r="L72" i="206"/>
  <c r="L132" i="206"/>
  <c r="L74" i="205"/>
  <c r="L11" i="206"/>
  <c r="K23" i="206"/>
  <c r="K91" i="205"/>
  <c r="L14" i="206"/>
  <c r="L109" i="206"/>
  <c r="L37" i="206"/>
  <c r="L119" i="206"/>
  <c r="K10" i="206"/>
  <c r="L86" i="206"/>
  <c r="L118" i="206"/>
  <c r="I37" i="205"/>
  <c r="K37" i="205"/>
  <c r="K44" i="205"/>
  <c r="I44" i="205"/>
  <c r="H66" i="205"/>
  <c r="I48" i="205"/>
  <c r="H92" i="205"/>
  <c r="L59" i="205" l="1"/>
  <c r="L91" i="206"/>
  <c r="I105" i="206"/>
  <c r="L69" i="206"/>
  <c r="L77" i="206" s="1"/>
  <c r="I77" i="206"/>
  <c r="I17" i="206"/>
  <c r="I42" i="206"/>
  <c r="I89" i="206"/>
  <c r="H143" i="206"/>
  <c r="I33" i="206"/>
  <c r="I14" i="205"/>
  <c r="L16" i="205"/>
  <c r="I129" i="206"/>
  <c r="I26" i="206"/>
  <c r="J26" i="206"/>
  <c r="L44" i="206"/>
  <c r="L60" i="206" s="1"/>
  <c r="L62" i="206"/>
  <c r="I75" i="205"/>
  <c r="I71" i="205"/>
  <c r="L73" i="205"/>
  <c r="L75" i="205" s="1"/>
  <c r="K11" i="205"/>
  <c r="K14" i="205" s="1"/>
  <c r="L91" i="205"/>
  <c r="L92" i="205" s="1"/>
  <c r="L58" i="205"/>
  <c r="L68" i="205"/>
  <c r="L71" i="205" s="1"/>
  <c r="L84" i="205"/>
  <c r="L85" i="205" s="1"/>
  <c r="L133" i="206"/>
  <c r="L10" i="206"/>
  <c r="L65" i="205"/>
  <c r="L66" i="205" s="1"/>
  <c r="L23" i="206"/>
  <c r="L88" i="205"/>
  <c r="I121" i="206"/>
  <c r="I63" i="205"/>
  <c r="L108" i="206"/>
  <c r="L121" i="206" s="1"/>
  <c r="K22" i="206"/>
  <c r="K26" i="206" s="1"/>
  <c r="K94" i="206"/>
  <c r="L94" i="206" s="1"/>
  <c r="K8" i="206"/>
  <c r="K17" i="206" s="1"/>
  <c r="L83" i="206"/>
  <c r="L89" i="206" s="1"/>
  <c r="K28" i="206"/>
  <c r="K33" i="206" s="1"/>
  <c r="L35" i="206"/>
  <c r="L42" i="206" s="1"/>
  <c r="L123" i="206"/>
  <c r="K63" i="205"/>
  <c r="K71" i="205"/>
  <c r="I85" i="205"/>
  <c r="K85" i="205"/>
  <c r="J75" i="205"/>
  <c r="J71" i="205"/>
  <c r="J48" i="205"/>
  <c r="J37" i="205"/>
  <c r="J63" i="205"/>
  <c r="I92" i="205"/>
  <c r="K92" i="205"/>
  <c r="I17" i="205"/>
  <c r="K17" i="205"/>
  <c r="I66" i="205"/>
  <c r="K66" i="205"/>
  <c r="I21" i="205"/>
  <c r="K21" i="205"/>
  <c r="K75" i="205"/>
  <c r="J44" i="205"/>
  <c r="K48" i="205"/>
  <c r="L89" i="205" l="1"/>
  <c r="L63" i="205"/>
  <c r="L66" i="206"/>
  <c r="K105" i="206"/>
  <c r="L105" i="206"/>
  <c r="L129" i="206"/>
  <c r="L17" i="205"/>
  <c r="L11" i="205"/>
  <c r="L107" i="205" s="1"/>
  <c r="L22" i="206"/>
  <c r="K155" i="206" s="1"/>
  <c r="L28" i="206"/>
  <c r="L33" i="206" s="1"/>
  <c r="L8" i="206"/>
  <c r="J21" i="205"/>
  <c r="J66" i="205"/>
  <c r="J92" i="205"/>
  <c r="J85" i="205"/>
  <c r="J17" i="205"/>
  <c r="L17" i="206" l="1"/>
  <c r="L26" i="206"/>
  <c r="L14" i="205"/>
  <c r="I51" i="205"/>
  <c r="K51" i="205"/>
  <c r="J51" i="205" l="1"/>
  <c r="M42" i="215" l="1"/>
  <c r="H51" i="205" l="1"/>
  <c r="H97" i="205" s="1"/>
  <c r="D55" i="2"/>
  <c r="D58" i="2"/>
  <c r="D56" i="2"/>
  <c r="D54" i="2"/>
  <c r="D57" i="2"/>
  <c r="D60" i="2"/>
  <c r="D63" i="2"/>
  <c r="D62" i="2"/>
  <c r="D61" i="2"/>
  <c r="D59" i="2"/>
  <c r="D53" i="2"/>
  <c r="J97" i="205" l="1"/>
  <c r="K53" i="205"/>
  <c r="K55" i="205" s="1"/>
  <c r="I55" i="205"/>
  <c r="I97" i="205" l="1"/>
  <c r="K97" i="205"/>
  <c r="L53" i="205"/>
  <c r="L106" i="205" s="1"/>
  <c r="L55" i="205" l="1"/>
  <c r="L97" i="205" s="1"/>
  <c r="L108" i="205"/>
  <c r="L110" i="205" l="1"/>
  <c r="K134" i="206"/>
  <c r="K135" i="206" s="1"/>
  <c r="K143" i="206" s="1"/>
  <c r="I135" i="206" l="1"/>
  <c r="I143" i="206" s="1"/>
  <c r="J135" i="206"/>
  <c r="J143" i="206" s="1"/>
  <c r="L134" i="206" l="1"/>
  <c r="K154" i="206" s="1"/>
  <c r="K156" i="206" s="1"/>
  <c r="L135" i="206" l="1"/>
  <c r="L143" i="206" s="1"/>
  <c r="M40" i="215"/>
  <c r="M44" i="215" l="1"/>
  <c r="E40" i="215"/>
  <c r="E44" i="215" l="1"/>
  <c r="K158" i="206"/>
</calcChain>
</file>

<file path=xl/sharedStrings.xml><?xml version="1.0" encoding="utf-8"?>
<sst xmlns="http://schemas.openxmlformats.org/spreadsheetml/2006/main" count="996" uniqueCount="486">
  <si>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</si>
  <si>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</si>
  <si>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</si>
  <si>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</si>
  <si>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</si>
  <si>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</si>
  <si>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</si>
  <si>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</si>
  <si>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</si>
  <si>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</si>
  <si>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</si>
  <si>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</si>
  <si>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</si>
  <si>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</si>
  <si>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</si>
  <si>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</si>
  <si>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</si>
  <si>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</si>
  <si>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</si>
  <si>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</si>
  <si>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</si>
  <si>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</si>
  <si>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</si>
  <si>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</si>
  <si>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</si>
  <si>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</si>
  <si>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</si>
  <si>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</si>
  <si>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</si>
  <si>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</si>
  <si>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</si>
  <si>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</si>
  <si>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</si>
  <si>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</si>
  <si>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</si>
  <si>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</si>
  <si>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</si>
  <si>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</si>
  <si>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</si>
  <si>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</si>
  <si>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</si>
  <si>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</si>
  <si>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</si>
  <si>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</si>
  <si>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</si>
  <si>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</si>
  <si>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</si>
  <si>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</si>
  <si>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</si>
  <si>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</si>
  <si>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</si>
  <si>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</si>
  <si>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</si>
  <si>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</si>
  <si>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</si>
  <si>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</si>
  <si>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</si>
  <si>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</si>
  <si>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</si>
  <si>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</si>
  <si>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</si>
  <si>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</si>
  <si>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</si>
  <si>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</si>
  <si>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</si>
  <si>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</si>
  <si>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</si>
  <si>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</si>
  <si>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</si>
  <si>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Barrendera</t>
  </si>
  <si>
    <t>Enc. Jardines</t>
  </si>
  <si>
    <t>Enc. De bomba</t>
  </si>
  <si>
    <t>Enc bomba Chora</t>
  </si>
  <si>
    <t>SISTEMAS</t>
  </si>
  <si>
    <t>J. Jesús Sánchez</t>
  </si>
  <si>
    <t>DEPORTES</t>
  </si>
  <si>
    <t>PROM. ECONOMICA Y PART. CIUDADANA</t>
  </si>
  <si>
    <t>Enc. De la hacienda</t>
  </si>
  <si>
    <t>CATASTRO</t>
  </si>
  <si>
    <t>TRANSPARENCIA</t>
  </si>
  <si>
    <t>Aux. Legal</t>
  </si>
  <si>
    <t>Aux. Agropecuario</t>
  </si>
  <si>
    <t>Limpieza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</si>
  <si>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</si>
  <si>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</si>
  <si>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</si>
  <si>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</si>
  <si>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</si>
  <si>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</si>
  <si>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</si>
  <si>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</si>
  <si>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</si>
  <si>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</si>
  <si>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Veterinario</t>
  </si>
  <si>
    <t>Limpieza panteón</t>
  </si>
  <si>
    <t>CURP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</si>
  <si>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</si>
  <si>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</si>
  <si>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</si>
  <si>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</si>
  <si>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</si>
  <si>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</si>
  <si>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</si>
  <si>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</si>
  <si>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</si>
  <si>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</si>
  <si>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</si>
  <si>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</si>
  <si>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</si>
  <si>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</si>
  <si>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</si>
  <si>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</si>
  <si>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</si>
  <si>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Sub-Total</t>
  </si>
  <si>
    <t>Encargado campo de futbol</t>
  </si>
  <si>
    <t xml:space="preserve">Recolector </t>
  </si>
  <si>
    <t>Encargado de bomba</t>
  </si>
  <si>
    <t>Barrendera Plaza</t>
  </si>
  <si>
    <t>Promotor de deportes</t>
  </si>
  <si>
    <t>Jefe de Ingresos</t>
  </si>
  <si>
    <t>Jefa Egresos</t>
  </si>
  <si>
    <t>Secretario General</t>
  </si>
  <si>
    <t>APOYOS A INSTITUCIONES DE SALUD</t>
  </si>
  <si>
    <t>Aseo Centro de Salud Lucio Blanco</t>
  </si>
  <si>
    <t>Juana Salazar Flores</t>
  </si>
  <si>
    <t>Marlene Elizabeth Tadeo Bañuelos</t>
  </si>
  <si>
    <t xml:space="preserve">            PRESIDENTE MUNICIPAL</t>
  </si>
  <si>
    <t>TOTALES</t>
  </si>
  <si>
    <t>Intendente del Centro de Salud</t>
  </si>
  <si>
    <t>Intendente Jardín de niños</t>
  </si>
  <si>
    <t>Días</t>
  </si>
  <si>
    <t>Núm..</t>
  </si>
  <si>
    <t>Héctor Emmanuel Corrales Benítez</t>
  </si>
  <si>
    <t>total percepción</t>
  </si>
  <si>
    <t xml:space="preserve"> Afanadora Kínder Lucio Blanco</t>
  </si>
  <si>
    <t>Aux. Kínder Lucio Blanco</t>
  </si>
  <si>
    <t xml:space="preserve"> PRESIDENTE MUNICIPAL</t>
  </si>
  <si>
    <t>Aux. Kinder Tehozitan</t>
  </si>
  <si>
    <t>Mtto. del campo de futbol La estanzuela</t>
  </si>
  <si>
    <t>EEAR610831HJCCLM05</t>
  </si>
  <si>
    <t>EITL750213MDFSRT01</t>
  </si>
  <si>
    <t>FOJL871122MZSLMZ09</t>
  </si>
  <si>
    <t>MEMO730525HJCNRC08</t>
  </si>
  <si>
    <t>MECN770123MJCZMR09</t>
  </si>
  <si>
    <t>MICA761107MJCRRN02</t>
  </si>
  <si>
    <t>OEZS741227MJCLXL09</t>
  </si>
  <si>
    <t>PASR631118MJCRNB04</t>
  </si>
  <si>
    <t>ROFE660112MJCDLV04</t>
  </si>
  <si>
    <t>ROSV480615HJCSLC00</t>
  </si>
  <si>
    <t>Jose de Jesús Gallo Torres</t>
  </si>
  <si>
    <t>REGISTRO CIVIL</t>
  </si>
  <si>
    <t>Román Murguía Rojas</t>
  </si>
  <si>
    <t>Irma Cecilia Fernandez Hernandez</t>
  </si>
  <si>
    <t>Capturista</t>
  </si>
  <si>
    <t>Intendete en primaria Miguel Hidalgo y Costilla</t>
  </si>
  <si>
    <t>Intendente Jardin de niños Vicente Guerrero</t>
  </si>
  <si>
    <t>Ma Eduwiges Reyes Ballesteros</t>
  </si>
  <si>
    <t>Aseo centro de salud La Estanzuela</t>
  </si>
  <si>
    <t>Antonia Vizcarra Hernandez</t>
  </si>
  <si>
    <t>Directora</t>
  </si>
  <si>
    <t>Ma. Del Carmen Solorzano Bautista</t>
  </si>
  <si>
    <t>Ma. de Jesús Contreras Lomelí</t>
  </si>
  <si>
    <t>Berenice Silva Zepeda</t>
  </si>
  <si>
    <t>Jose Refugio Carmona Martinez</t>
  </si>
  <si>
    <t>Jose Luis  Mendez Hernandez</t>
  </si>
  <si>
    <t>Fernando Fuentes Gonzalez</t>
  </si>
  <si>
    <t>Susana Meza Flores</t>
  </si>
  <si>
    <t>Lilia Elizabeth González Ponce</t>
  </si>
  <si>
    <t>Edson Alejandro Gallegos Rosales</t>
  </si>
  <si>
    <t>Alejandra Soto Villalobos</t>
  </si>
  <si>
    <t>Juan Felipe Torres Sánchez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</si>
  <si>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</si>
  <si>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</si>
  <si>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</si>
  <si>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</si>
  <si>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</si>
  <si>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</si>
  <si>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</si>
  <si>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</si>
  <si>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</si>
  <si>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</si>
  <si>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</si>
  <si>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</si>
  <si>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</si>
  <si>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</si>
  <si>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</si>
  <si>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</si>
  <si>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</si>
  <si>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</si>
  <si>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Edgar Alfredo Gallegos Cuarenta</t>
  </si>
  <si>
    <t>Daniela Alejandra Ulloa Delgadillo</t>
  </si>
  <si>
    <t>José Najar Rizo</t>
  </si>
  <si>
    <t>René Trigueros Marroquín</t>
  </si>
  <si>
    <t>Ma. Consuelo Hernández González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</si>
  <si>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</si>
  <si>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</si>
  <si>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</si>
  <si>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</si>
  <si>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</si>
  <si>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</si>
  <si>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Pedro Damián Ruelas Rubio</t>
  </si>
  <si>
    <t>Jorge Iván Gallegos Rosales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</si>
  <si>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</si>
  <si>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</si>
  <si>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</si>
  <si>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</si>
  <si>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</si>
  <si>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>Laura Elena Torres Ramirez</t>
  </si>
  <si>
    <t>Rosalba Márquez Camarena</t>
  </si>
  <si>
    <t>Rigoberto Santos Becerra</t>
  </si>
  <si>
    <t>Luzvi Mireya Avalos Espinoza</t>
  </si>
  <si>
    <t>José de Jesús Venegas Rodríguez</t>
  </si>
  <si>
    <t>Adelaida Montes Barbosa</t>
  </si>
  <si>
    <t>María Luisa Jiménez Virgen</t>
  </si>
  <si>
    <t>Margarita Gutiérrez Rizo</t>
  </si>
  <si>
    <t>Cipriano Blanco Candelario</t>
  </si>
  <si>
    <t>Abelino Rivera Hernández</t>
  </si>
  <si>
    <t>J. Jesús Velazquez Moya</t>
  </si>
  <si>
    <t>Juan Gabriel Tovar Salazar</t>
  </si>
  <si>
    <t>José de Jesús Murillo Sandoval</t>
  </si>
  <si>
    <t>Elena Anguiano Rubio</t>
  </si>
  <si>
    <t>José Antonio Rivera Gallegos</t>
  </si>
  <si>
    <t>Ramiro Oliva Vázquez</t>
  </si>
  <si>
    <t>Adriana Aguilera Amaral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</si>
  <si>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</si>
  <si>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</si>
  <si>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</si>
  <si>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</si>
  <si>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</si>
  <si>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</si>
  <si>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</si>
  <si>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</si>
  <si>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</si>
  <si>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</si>
  <si>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</si>
  <si>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</si>
  <si>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</si>
  <si>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</si>
  <si>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</si>
  <si>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</si>
  <si>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Bernardette Casillas Santiago</t>
  </si>
  <si>
    <t>Sandra Erika Santos Becerra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</si>
  <si>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</si>
  <si>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</si>
  <si>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</si>
  <si>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</si>
  <si>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</si>
  <si>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</si>
  <si>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</si>
  <si>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</si>
  <si>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</si>
  <si>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</si>
  <si>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</si>
  <si>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</si>
  <si>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</si>
  <si>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</si>
  <si>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Prudencio Aguayo Dueñas</t>
  </si>
  <si>
    <t>Laura Martínez Santiago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</si>
  <si>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</si>
  <si>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</si>
  <si>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</si>
  <si>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</si>
  <si>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</si>
  <si>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Encargada de Archivo y Patrimonio Municipal</t>
  </si>
  <si>
    <t>Raúl del Ángel Solórzano Vázquez</t>
  </si>
  <si>
    <t>Rosa Ortega Saavedra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</si>
  <si>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</si>
  <si>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</si>
  <si>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</si>
  <si>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</si>
  <si>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</si>
  <si>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</si>
  <si>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Total Remunerac</t>
  </si>
  <si>
    <t>Puesto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</si>
  <si>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</si>
  <si>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</si>
  <si>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</si>
  <si>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</si>
  <si>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</si>
  <si>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</si>
  <si>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</si>
  <si>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</si>
  <si>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</si>
  <si>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</si>
  <si>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</si>
  <si>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</si>
  <si>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>PERSONAL DE BASE    (113)</t>
  </si>
  <si>
    <t>PERSONAL EVENTUAL:    (122)</t>
  </si>
  <si>
    <t>DIF</t>
  </si>
  <si>
    <t>TOTAL</t>
  </si>
  <si>
    <t>Subsidio al Empleo</t>
  </si>
  <si>
    <t>ISR Salarios</t>
  </si>
  <si>
    <t>DESARROLLO AGROPECUARIO</t>
  </si>
  <si>
    <t>LOSA760114MJCRLD06</t>
  </si>
  <si>
    <t>SICL941104MJCRLC07</t>
  </si>
  <si>
    <t>CUFS770424MJCRLC02</t>
  </si>
  <si>
    <t>MEMJ651006MJCNRN07</t>
  </si>
  <si>
    <t>C.Irma Cecilia Fernández Hernández</t>
  </si>
  <si>
    <t>PAGAR</t>
  </si>
  <si>
    <t xml:space="preserve">A </t>
  </si>
  <si>
    <t>F I R M A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</si>
  <si>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</si>
  <si>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</si>
  <si>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</si>
  <si>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</si>
  <si>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</si>
  <si>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</si>
  <si>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</si>
  <si>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</si>
  <si>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</si>
  <si>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</si>
  <si>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</si>
  <si>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</si>
  <si>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</si>
  <si>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</si>
  <si>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</si>
  <si>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</si>
  <si>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</si>
  <si>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</si>
  <si>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</si>
  <si>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</si>
  <si>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</si>
  <si>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</si>
  <si>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</si>
  <si>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</si>
  <si>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</si>
  <si>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</si>
  <si>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</si>
  <si>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</si>
  <si>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</si>
  <si>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</si>
  <si>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</si>
  <si>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</si>
  <si>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</si>
  <si>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</si>
  <si>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</si>
  <si>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</si>
  <si>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 xml:space="preserve">       ENC. DE LA HACIENDA PUBLICA</t>
  </si>
  <si>
    <t xml:space="preserve">  </t>
  </si>
  <si>
    <t>Aseo Centro de Salud Municipal</t>
  </si>
  <si>
    <t>EF</t>
  </si>
  <si>
    <t>Recaudadora de Agua Potable</t>
  </si>
  <si>
    <t>Maria del Refugio Sanchez Ortega</t>
  </si>
  <si>
    <t>Irene Oliva Reyes</t>
  </si>
  <si>
    <t>Erica Daniela Plascencia Nava</t>
  </si>
  <si>
    <t>Imelda Virgen Perez</t>
  </si>
  <si>
    <t>Johnny Alberto Ramos Ureña</t>
  </si>
  <si>
    <t>Operador de Maquinaria</t>
  </si>
  <si>
    <t>Jose Armando Ibarra Becerra</t>
  </si>
  <si>
    <t>Bartolome Ramon Ledezma Curiel</t>
  </si>
  <si>
    <t>Luis Alberto Rivera Ulloa</t>
  </si>
  <si>
    <t>Juan Alfredo Veliz Frias</t>
  </si>
  <si>
    <t>Avelino Trigueros Salazar</t>
  </si>
  <si>
    <t>Paola Esmeralda Flores Cocolan</t>
  </si>
  <si>
    <t>Aseo en el rio</t>
  </si>
  <si>
    <t>MUNICIPIO DE: TEUCHITLÁN JALISCO</t>
  </si>
  <si>
    <t>Otras Deducciones</t>
  </si>
  <si>
    <t xml:space="preserve">Tonantzin Selene Moya Márquez </t>
  </si>
  <si>
    <t>Regidor</t>
  </si>
  <si>
    <t xml:space="preserve">Osvaldo Eliu Reyes Tapia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</si>
  <si>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</si>
  <si>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</si>
  <si>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</si>
  <si>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</si>
  <si>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</si>
  <si>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</si>
  <si>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</si>
  <si>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Síndico</t>
  </si>
  <si>
    <t>SALARIOS TOTALES</t>
  </si>
  <si>
    <t>TOTAL EFECTIVO</t>
  </si>
  <si>
    <t>SALARIOS FORTA</t>
  </si>
  <si>
    <t>TOTAL TARJETA</t>
  </si>
  <si>
    <t>Griselda Lara Sanchez</t>
  </si>
  <si>
    <t>Encargado de invernadero municipal</t>
  </si>
  <si>
    <t>Martha Guadalupe Gómez Sánchez</t>
  </si>
  <si>
    <t>Ma. Guadalupe Armenta Virgen</t>
  </si>
  <si>
    <t xml:space="preserve">Angelica Plascencia Ramirez </t>
  </si>
  <si>
    <t>Juan Carlos Sahagún Partida</t>
  </si>
  <si>
    <t xml:space="preserve">Francisco Javier Moran Ballesteros </t>
  </si>
  <si>
    <t>María Guadalupe Hernández Gallegos</t>
  </si>
  <si>
    <t>Beverli Nayeli Valdez Mercado</t>
  </si>
  <si>
    <t>SEGURIDAD PUBLICA</t>
  </si>
  <si>
    <t>Edgar Ulises Sandoval Bautista</t>
  </si>
  <si>
    <t>Sub-Comisario</t>
  </si>
  <si>
    <t>Policía de Línea</t>
  </si>
  <si>
    <t>Jorge Leonardo Castro Garagarza</t>
  </si>
  <si>
    <t>Comandante Operativo</t>
  </si>
  <si>
    <t>Abraham Horacio Campante Viorato</t>
  </si>
  <si>
    <t>Sandra Griselda Maldonado Gómez</t>
  </si>
  <si>
    <t>Rosalio Siordia Flores</t>
  </si>
  <si>
    <t>Cristian Alexis Basilio Tapia</t>
  </si>
  <si>
    <t>Ma. Nancy Lucrecia Gallegos Alvarez</t>
  </si>
  <si>
    <t>Asistente Administrativa</t>
  </si>
  <si>
    <t>Jesús Durán Enríquez</t>
  </si>
  <si>
    <t>Agente DARE</t>
  </si>
  <si>
    <t>Luis Octavio García Grajeda</t>
  </si>
  <si>
    <t>David Gonzalez Rosales</t>
  </si>
  <si>
    <t>Salvador Alejandro Barajas Torres</t>
  </si>
  <si>
    <t>Rigoberto Gonzalez Romero</t>
  </si>
  <si>
    <t>Samantha Leon Lopez</t>
  </si>
  <si>
    <t>Guadalupe del Consuelo Perez Mancillas</t>
  </si>
  <si>
    <t>Sandra Yamary Anguiano Valdez</t>
  </si>
  <si>
    <t>Jenifer Rosario Nuñez Vargas</t>
  </si>
  <si>
    <t>Andrea Yareli Perez Robles</t>
  </si>
  <si>
    <t>Jose Macario Lopez Alvarez</t>
  </si>
  <si>
    <t>María Guadalupe Sierra Camarena</t>
  </si>
  <si>
    <t>PROTECCION CIVIL</t>
  </si>
  <si>
    <t xml:space="preserve">                                     </t>
  </si>
  <si>
    <t>Andrés Hernández Torres</t>
  </si>
  <si>
    <t>Fernando Guadalupe Rodríguez Rosales</t>
  </si>
  <si>
    <t>Médico Municipal</t>
  </si>
  <si>
    <t>Simón Alberto Lara Aguilera</t>
  </si>
  <si>
    <t>Sara Noemi Lopez Ruvalcaba</t>
  </si>
  <si>
    <t>José de Jesús Zepeda Sánchez</t>
  </si>
  <si>
    <t>Paramédico</t>
  </si>
  <si>
    <t>Juan Manuel Tortoledo González</t>
  </si>
  <si>
    <t>Alan Carrillo Estrada</t>
  </si>
  <si>
    <t>Sergio Iván Jiménez Salazar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</si>
  <si>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</si>
  <si>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</si>
  <si>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</si>
  <si>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</si>
  <si>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</si>
  <si>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 xml:space="preserve">Paramédico </t>
  </si>
  <si>
    <t>Cesar Ismael Sigala Garcia</t>
  </si>
  <si>
    <t>Angel Ricardo Medina Calvillo</t>
  </si>
  <si>
    <t>Diego Antonio Moreno Maldonado</t>
  </si>
  <si>
    <t>Bombero BRAC</t>
  </si>
  <si>
    <t>Benjamin de Jesús Muñóz Cardona</t>
  </si>
  <si>
    <t>Angel Gabriel Abundiz Hernandez</t>
  </si>
  <si>
    <t>Aldo Flores Bello</t>
  </si>
  <si>
    <t>]</t>
  </si>
  <si>
    <t>Dias</t>
  </si>
  <si>
    <t xml:space="preserve">                                                        C.ALFONSO CHAVEZ SAAVEDRA</t>
  </si>
  <si>
    <t>Alfonso Chavez Saavedra</t>
  </si>
  <si>
    <t>TABLAS PUBLICADAS EL 29 DE DICIEMBRE DE 2023</t>
  </si>
  <si>
    <t>TARIFAS VIGENTES 2024</t>
  </si>
  <si>
    <t>EJERCICIO 2024</t>
  </si>
  <si>
    <t>Jose Guadalupe Rosales Lopez</t>
  </si>
  <si>
    <t>Karina Livier Garcia Gutierrez</t>
  </si>
  <si>
    <t>Omar Ascencion Arreola Ojeda</t>
  </si>
  <si>
    <t>ROST730810MHCDND05</t>
  </si>
  <si>
    <t>Administrativo</t>
  </si>
  <si>
    <t>Martin Rafael Quiroz Vazquez</t>
  </si>
  <si>
    <t>OIFM030206MJCLLRA5</t>
  </si>
  <si>
    <t>Diana Laura Reynoso Nuñez</t>
  </si>
  <si>
    <t>Maria de los Angeles Vicente Juarez</t>
  </si>
  <si>
    <t>Juan Antonio Covarrubias Abundiz</t>
  </si>
  <si>
    <t>Directora Part. Ciudadana</t>
  </si>
  <si>
    <t>Ruben Eduardo Garcia Fregoso</t>
  </si>
  <si>
    <t>Estefania Gabriela Cruz Guerrero</t>
  </si>
  <si>
    <t>Carlos Jesus Padilla Ruiz</t>
  </si>
  <si>
    <t>Roberto Jr Sanchez Rivera</t>
  </si>
  <si>
    <t>Christian Leonel Barajas Gonzalez</t>
  </si>
  <si>
    <t>Juan Francisco Herrera Dillanes</t>
  </si>
  <si>
    <t>C. ALFONSO CHAVEZ SAAVEDRA</t>
  </si>
  <si>
    <t>Maria Patricia Hernandez Martinez</t>
  </si>
  <si>
    <t>Bertha Griselda Garcia Meza</t>
  </si>
  <si>
    <t xml:space="preserve">Margarita Villalobos Villagrana </t>
  </si>
  <si>
    <t>Auxiliar de Turismo</t>
  </si>
  <si>
    <t>Gerardo Gonzalez Sanchez</t>
  </si>
  <si>
    <t>Jose de Jesus Vaca Covarrubias</t>
  </si>
  <si>
    <t>Auxiliar Secretario General</t>
  </si>
  <si>
    <t>Cristian Alexander Rodriguez Gutierrez</t>
  </si>
  <si>
    <t>Luis Angel Tamayo Guillen</t>
  </si>
  <si>
    <t>Juan Pablo Ortega Ruiz</t>
  </si>
  <si>
    <t>Alvaro Alonso Venegas Gonzalez</t>
  </si>
  <si>
    <t>Jose de Jesus Varo Dominguez</t>
  </si>
  <si>
    <t>Oscar Uriel Delgado Calderon</t>
  </si>
  <si>
    <t>Ma de Jesus Saavedra Lopez</t>
  </si>
  <si>
    <t>Oscar Raul Borjon Rivas</t>
  </si>
  <si>
    <t>Velador</t>
  </si>
  <si>
    <t>Limpieza Monte Calvario</t>
  </si>
  <si>
    <t>Yolanda Ornelas Fonseca</t>
  </si>
  <si>
    <t>Ivette Monserrat Quintero Miranda</t>
  </si>
  <si>
    <t>tabla subsidio publicada el 1 de mayo de 2024</t>
  </si>
  <si>
    <t>Gilberto Adan Muñiz Alvarez</t>
  </si>
  <si>
    <t>PRIMERA QUINCENA DE JUNIO DEL 2024</t>
  </si>
  <si>
    <t xml:space="preserve">                                         PERIODO DE PAGO: PRIMERA QUINCENA DE JUNIO DEL 2024</t>
  </si>
  <si>
    <t>NOMINA DEL 01 AL 15 DE JUNIO DEL 2024</t>
  </si>
  <si>
    <t>PERIODO DE PAGO: PRIMERA QUINCENA DE JUNIO DEL 2024</t>
  </si>
  <si>
    <t>Osbaldo Anguiano Gutiérrez</t>
  </si>
  <si>
    <t>José Manuel Anguiano Miramontes</t>
  </si>
  <si>
    <t>Antonio Flores Valencia</t>
  </si>
  <si>
    <t>Brenda Elizabeth Caldera Sanchez</t>
  </si>
  <si>
    <t>Jenifer Esmeralda Cisneros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</si>
</sst>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2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0" fontId="17" fillId="3" borderId="0" xfId="0" applyFont="1" applyFill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3" fillId="0" borderId="0" xfId="0" applyFont="1" applyAlignment="1">
      <alignment vertical="center"/>
    </xf>
    <xf numFmtId="0" fontId="1" fillId="0" borderId="22" xfId="0" applyFont="1" applyBorder="1"/>
    <xf numFmtId="0" fontId="1" fillId="0" borderId="31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43" fontId="18" fillId="0" borderId="4" xfId="2" applyFont="1" applyBorder="1" applyAlignment="1" applyProtection="1">
      <alignment horizontal="center" vertical="center" wrapText="1"/>
      <protection locked="0"/>
    </xf>
    <xf numFmtId="43" fontId="18" fillId="0" borderId="4" xfId="2" applyFont="1" applyFill="1" applyBorder="1" applyAlignment="1" applyProtection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center"/>
    </xf>
    <xf numFmtId="43" fontId="19" fillId="0" borderId="4" xfId="2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8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left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0" fontId="8" fillId="0" borderId="0" xfId="0" applyFont="1"/>
    <xf numFmtId="165" fontId="1" fillId="0" borderId="34" xfId="2" applyNumberFormat="1" applyFont="1" applyFill="1" applyBorder="1" applyAlignment="1" applyProtection="1">
      <alignment horizontal="center"/>
    </xf>
    <xf numFmtId="166" fontId="1" fillId="0" borderId="34" xfId="2" applyNumberFormat="1" applyFont="1" applyFill="1" applyBorder="1" applyAlignment="1" applyProtection="1">
      <alignment horizontal="center"/>
      <protection locked="0"/>
    </xf>
    <xf numFmtId="165" fontId="1" fillId="0" borderId="34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4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7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165" fontId="0" fillId="3" borderId="0" xfId="0" applyNumberFormat="1" applyFill="1"/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2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43" fontId="19" fillId="0" borderId="14" xfId="2" applyFont="1" applyBorder="1" applyAlignment="1" applyProtection="1">
      <alignment horizontal="center" vertical="center" wrapText="1"/>
    </xf>
    <xf numFmtId="43" fontId="19" fillId="0" borderId="30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2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43" fontId="17" fillId="0" borderId="0" xfId="2" applyFont="1" applyFill="1" applyBorder="1" applyProtection="1"/>
    <xf numFmtId="43" fontId="2" fillId="0" borderId="0" xfId="2" applyFont="1" applyFill="1" applyBorder="1" applyProtection="1"/>
    <xf numFmtId="0" fontId="1" fillId="0" borderId="17" xfId="0" applyFont="1" applyBorder="1" applyAlignment="1">
      <alignment vertical="center"/>
    </xf>
    <xf numFmtId="2" fontId="18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" fontId="19" fillId="0" borderId="0" xfId="2" applyNumberFormat="1" applyFont="1" applyFill="1" applyBorder="1" applyAlignment="1" applyProtection="1">
      <alignment horizontal="center" vertical="center"/>
    </xf>
    <xf numFmtId="2" fontId="19" fillId="0" borderId="0" xfId="2" applyNumberFormat="1" applyFont="1" applyFill="1" applyBorder="1" applyAlignment="1" applyProtection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165" fontId="19" fillId="0" borderId="37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165" fontId="18" fillId="0" borderId="0" xfId="0" applyNumberFormat="1" applyFont="1"/>
    <xf numFmtId="0" fontId="1" fillId="0" borderId="4" xfId="0" applyFont="1" applyBorder="1" applyAlignment="1" applyProtection="1">
      <alignment horizontal="left" vertical="center"/>
      <protection locked="0"/>
    </xf>
    <xf numFmtId="43" fontId="1" fillId="0" borderId="4" xfId="2" applyFont="1" applyFill="1" applyBorder="1" applyAlignment="1" applyProtection="1">
      <alignment horizontal="right" vertical="center"/>
      <protection locked="0"/>
    </xf>
    <xf numFmtId="43" fontId="1" fillId="0" borderId="4" xfId="2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165" fontId="2" fillId="0" borderId="25" xfId="2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 wrapText="1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0" fontId="18" fillId="0" borderId="0" xfId="0" applyFont="1" applyAlignment="1">
      <alignment horizontal="center"/>
    </xf>
    <xf numFmtId="43" fontId="18" fillId="0" borderId="23" xfId="2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2" fontId="18" fillId="0" borderId="4" xfId="2" applyNumberFormat="1" applyFont="1" applyFill="1" applyBorder="1" applyAlignment="1" applyProtection="1">
      <alignment horizontal="center" vertical="center"/>
    </xf>
    <xf numFmtId="43" fontId="18" fillId="0" borderId="4" xfId="2" applyFont="1" applyFill="1" applyBorder="1" applyAlignment="1" applyProtection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0" fontId="3" fillId="0" borderId="13" xfId="0" applyFont="1" applyBorder="1" applyAlignment="1" applyProtection="1">
      <alignment horizontal="center" vertical="center"/>
      <protection locked="0"/>
    </xf>
    <xf numFmtId="43" fontId="1" fillId="0" borderId="4" xfId="2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285678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5</xdr:row>
      <xdr:rowOff>38237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A42A8-3578-48BB-9206-EAC3C237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126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FAA5C-CB58-4E7A-9819-111F1141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627" y="265387"/>
          <a:ext cx="1178388" cy="1110154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042FEF-13CB-416E-9AAD-6AEA9F90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23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F51" sqref="F51:G60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26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437</v>
      </c>
      <c r="C4" s="8"/>
      <c r="D4" s="8"/>
      <c r="E4" s="8"/>
      <c r="F4" s="8"/>
      <c r="G4" s="8"/>
    </row>
    <row r="5" spans="1:7" x14ac:dyDescent="0.2">
      <c r="B5" t="s">
        <v>475</v>
      </c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66" t="s">
        <v>4</v>
      </c>
      <c r="C7" s="366"/>
      <c r="D7" s="366"/>
      <c r="E7" s="8"/>
      <c r="F7" s="359" t="s">
        <v>19</v>
      </c>
      <c r="G7" s="360"/>
    </row>
    <row r="8" spans="1:7" ht="14.25" customHeight="1" x14ac:dyDescent="0.2">
      <c r="B8" s="363" t="s">
        <v>3</v>
      </c>
      <c r="C8" s="363"/>
      <c r="D8" s="363"/>
      <c r="E8" s="8"/>
      <c r="F8" s="364" t="s">
        <v>20</v>
      </c>
      <c r="G8" s="365"/>
    </row>
    <row r="9" spans="1:7" ht="8.25" customHeight="1" x14ac:dyDescent="0.2">
      <c r="B9" s="367"/>
      <c r="C9" s="367"/>
      <c r="D9" s="367"/>
      <c r="E9" s="8"/>
      <c r="F9" s="361"/>
      <c r="G9" s="362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390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9081.01</v>
      </c>
      <c r="G14" s="21">
        <v>0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9081.01</v>
      </c>
      <c r="G15" s="21">
        <v>0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9081.01</v>
      </c>
      <c r="G16" s="21">
        <v>0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9081.01</v>
      </c>
      <c r="G17" s="21">
        <v>0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9081.01</v>
      </c>
      <c r="G18" s="21">
        <v>0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9081.01</v>
      </c>
      <c r="G19" s="21">
        <v>0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9081.01</v>
      </c>
      <c r="G20" s="21">
        <v>0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9081.01</v>
      </c>
      <c r="G21" s="21">
        <v>0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9081.01</v>
      </c>
      <c r="G22" s="21">
        <v>0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9081.01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435</v>
      </c>
      <c r="C34" s="8"/>
      <c r="D34" s="8"/>
    </row>
    <row r="35" spans="2:7" x14ac:dyDescent="0.2">
      <c r="B35" s="23" t="s">
        <v>436</v>
      </c>
      <c r="C35" s="8"/>
      <c r="D35" s="8"/>
    </row>
    <row r="37" spans="2:7" x14ac:dyDescent="0.2">
      <c r="B37" t="s">
        <v>475</v>
      </c>
    </row>
    <row r="44" spans="2:7" ht="17.25" customHeight="1" x14ac:dyDescent="0.2">
      <c r="B44" s="6" t="s">
        <v>18</v>
      </c>
      <c r="E44" s="8"/>
      <c r="F44" s="359" t="s">
        <v>23</v>
      </c>
      <c r="G44" s="360"/>
    </row>
    <row r="45" spans="2:7" x14ac:dyDescent="0.2">
      <c r="E45" s="8"/>
      <c r="F45" s="364" t="s">
        <v>24</v>
      </c>
      <c r="G45" s="365"/>
    </row>
    <row r="46" spans="2:7" ht="5.25" customHeight="1" x14ac:dyDescent="0.2">
      <c r="E46" s="8"/>
      <c r="F46" s="361"/>
      <c r="G46" s="362"/>
    </row>
    <row r="47" spans="2:7" x14ac:dyDescent="0.2">
      <c r="B47" s="366" t="s">
        <v>4</v>
      </c>
      <c r="C47" s="366"/>
      <c r="D47" s="366"/>
      <c r="E47" s="8"/>
      <c r="F47" s="10" t="s">
        <v>10</v>
      </c>
      <c r="G47" s="10" t="s">
        <v>11</v>
      </c>
    </row>
    <row r="48" spans="2:7" x14ac:dyDescent="0.2">
      <c r="B48" s="363" t="s">
        <v>3</v>
      </c>
      <c r="C48" s="363"/>
      <c r="D48" s="363"/>
      <c r="E48" s="8"/>
      <c r="F48" s="10"/>
      <c r="G48" s="10" t="s">
        <v>12</v>
      </c>
    </row>
    <row r="49" spans="2:7" x14ac:dyDescent="0.2">
      <c r="B49" s="367"/>
      <c r="C49" s="367"/>
      <c r="D49" s="367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195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4540.5050000000001</v>
      </c>
      <c r="G51" s="13">
        <v>0</v>
      </c>
    </row>
    <row r="52" spans="2:7" ht="15.95" customHeight="1" x14ac:dyDescent="0.2">
      <c r="B52" s="11"/>
      <c r="C52" s="11"/>
      <c r="D52" s="11"/>
      <c r="E52" s="15"/>
      <c r="F52" s="13">
        <v>4540.5050000000001</v>
      </c>
      <c r="G52" s="13">
        <v>0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4540.5050000000001</v>
      </c>
      <c r="G53" s="13">
        <v>0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4540.5050000000001</v>
      </c>
      <c r="G54" s="13">
        <v>0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4540.5050000000001</v>
      </c>
      <c r="G55" s="13">
        <v>0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4540.5050000000001</v>
      </c>
      <c r="G56" s="13">
        <v>0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4540.5050000000001</v>
      </c>
      <c r="G57" s="13">
        <v>0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4540.5050000000001</v>
      </c>
      <c r="G58" s="13">
        <v>0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4540.5050000000001</v>
      </c>
      <c r="G59" s="13">
        <v>0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4540.5050000000001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B49:D49"/>
    <mergeCell ref="F46:G46"/>
    <mergeCell ref="B47:D47"/>
    <mergeCell ref="F44:G44"/>
    <mergeCell ref="B48:D48"/>
    <mergeCell ref="F45:G45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4"/>
  <sheetViews>
    <sheetView showGridLines="0" zoomScaleNormal="100" workbookViewId="0">
      <selection activeCell="F1" sqref="F1:F1048576"/>
    </sheetView>
  </sheetViews>
  <sheetFormatPr baseColWidth="10" defaultColWidth="11.42578125" defaultRowHeight="12.75" x14ac:dyDescent="0.2"/>
  <cols>
    <col min="1" max="1" width="2.5703125" style="5" customWidth="1"/>
    <col min="2" max="3" width="3.85546875" style="5" customWidth="1"/>
    <col min="4" max="4" width="28" style="306" customWidth="1"/>
    <col min="5" max="5" width="13.5703125" style="5" bestFit="1" customWidth="1"/>
    <col min="6" max="6" width="5.42578125" style="5" bestFit="1" customWidth="1"/>
    <col min="7" max="7" width="8.140625" style="5" bestFit="1" customWidth="1"/>
    <col min="8" max="8" width="11.42578125" style="32" customWidth="1"/>
    <col min="9" max="9" width="9.42578125" style="5" bestFit="1" customWidth="1"/>
    <col min="10" max="10" width="9.7109375" style="5" bestFit="1" customWidth="1"/>
    <col min="11" max="11" width="9.42578125" style="5" hidden="1" customWidth="1"/>
    <col min="12" max="12" width="10" style="5" customWidth="1"/>
    <col min="13" max="13" width="11.42578125" style="5" bestFit="1" customWidth="1"/>
    <col min="14" max="14" width="23.42578125" style="5" customWidth="1"/>
    <col min="15" max="16384" width="11.42578125" style="5"/>
  </cols>
  <sheetData>
    <row r="1" spans="1:14" x14ac:dyDescent="0.2">
      <c r="B1" s="267"/>
      <c r="C1" s="268"/>
      <c r="D1" s="269"/>
      <c r="E1" s="268"/>
      <c r="F1" s="268"/>
      <c r="G1" s="268"/>
      <c r="H1" s="270"/>
      <c r="I1" s="268"/>
      <c r="J1" s="268"/>
      <c r="K1" s="268"/>
      <c r="L1" s="268"/>
      <c r="M1" s="268"/>
      <c r="N1" s="271"/>
    </row>
    <row r="2" spans="1:14" ht="18.75" x14ac:dyDescent="0.3">
      <c r="B2" s="272"/>
      <c r="C2" s="47"/>
      <c r="D2" s="85"/>
      <c r="E2" s="368" t="s">
        <v>355</v>
      </c>
      <c r="F2" s="368"/>
      <c r="G2" s="368"/>
      <c r="H2" s="368"/>
      <c r="I2" s="368"/>
      <c r="J2" s="368"/>
      <c r="K2" s="368"/>
      <c r="L2" s="368"/>
      <c r="M2" s="368"/>
      <c r="N2" s="369"/>
    </row>
    <row r="3" spans="1:14" x14ac:dyDescent="0.2">
      <c r="B3" s="272"/>
      <c r="C3" s="47"/>
      <c r="D3" s="43"/>
      <c r="E3" s="47"/>
      <c r="F3" s="47"/>
      <c r="G3" s="47"/>
      <c r="H3" s="273"/>
      <c r="I3" s="47"/>
      <c r="J3" s="47"/>
      <c r="K3" s="47"/>
      <c r="L3" s="47"/>
      <c r="M3" s="47"/>
      <c r="N3" s="274"/>
    </row>
    <row r="4" spans="1:14" ht="27.75" customHeight="1" x14ac:dyDescent="0.4">
      <c r="B4" s="272"/>
      <c r="C4" s="47"/>
      <c r="D4" s="43"/>
      <c r="E4" s="358"/>
      <c r="F4" s="47"/>
      <c r="G4" s="47"/>
      <c r="H4" s="273"/>
      <c r="I4" s="47"/>
      <c r="J4" s="47"/>
      <c r="K4" s="47"/>
      <c r="L4" s="47"/>
      <c r="M4" s="47"/>
      <c r="N4" s="274"/>
    </row>
    <row r="5" spans="1:14" x14ac:dyDescent="0.2">
      <c r="B5" s="272"/>
      <c r="C5" s="47"/>
      <c r="D5" s="43"/>
      <c r="E5" s="47"/>
      <c r="F5" s="47"/>
      <c r="G5" s="47"/>
      <c r="H5" s="273"/>
      <c r="I5" s="47"/>
      <c r="J5" s="47"/>
      <c r="K5" s="47"/>
      <c r="L5" s="47"/>
      <c r="M5" s="47"/>
      <c r="N5" s="274"/>
    </row>
    <row r="6" spans="1:14" x14ac:dyDescent="0.2">
      <c r="B6" s="272"/>
      <c r="C6" s="47"/>
      <c r="D6" s="43"/>
      <c r="E6" s="47"/>
      <c r="F6" s="47"/>
      <c r="G6" s="47"/>
      <c r="H6" s="273"/>
      <c r="I6" s="47"/>
      <c r="J6" s="47"/>
      <c r="K6" s="47"/>
      <c r="L6" s="47"/>
      <c r="M6" s="47"/>
      <c r="N6" s="274"/>
    </row>
    <row r="7" spans="1:14" x14ac:dyDescent="0.2">
      <c r="B7" s="272"/>
      <c r="C7" s="47"/>
      <c r="D7" s="43"/>
      <c r="E7" s="47"/>
      <c r="F7" s="47"/>
      <c r="G7" s="47"/>
      <c r="H7" s="273"/>
      <c r="I7" s="47"/>
      <c r="J7" s="47"/>
      <c r="K7" s="47"/>
      <c r="L7" s="47"/>
      <c r="M7" s="47"/>
      <c r="N7" s="274"/>
    </row>
    <row r="8" spans="1:14" ht="30" customHeight="1" x14ac:dyDescent="0.2">
      <c r="B8" s="275"/>
      <c r="C8" s="206"/>
      <c r="D8" s="276"/>
      <c r="E8" s="277"/>
      <c r="F8" s="370" t="s">
        <v>477</v>
      </c>
      <c r="G8" s="370"/>
      <c r="H8" s="370"/>
      <c r="I8" s="370"/>
      <c r="J8" s="370"/>
      <c r="K8" s="370"/>
      <c r="L8" s="370"/>
      <c r="M8" s="278"/>
      <c r="N8" s="279"/>
    </row>
    <row r="9" spans="1:14" s="287" customFormat="1" ht="38.25" x14ac:dyDescent="0.2">
      <c r="A9" s="5"/>
      <c r="B9" s="280" t="s">
        <v>278</v>
      </c>
      <c r="C9" s="281" t="s">
        <v>340</v>
      </c>
      <c r="D9" s="282" t="s">
        <v>14</v>
      </c>
      <c r="E9" s="282" t="s">
        <v>273</v>
      </c>
      <c r="F9" s="282" t="s">
        <v>432</v>
      </c>
      <c r="G9" s="282" t="s">
        <v>277</v>
      </c>
      <c r="H9" s="283" t="s">
        <v>274</v>
      </c>
      <c r="I9" s="282" t="s">
        <v>290</v>
      </c>
      <c r="J9" s="282" t="s">
        <v>291</v>
      </c>
      <c r="K9" s="284" t="s">
        <v>356</v>
      </c>
      <c r="L9" s="284" t="s">
        <v>275</v>
      </c>
      <c r="M9" s="285" t="s">
        <v>272</v>
      </c>
      <c r="N9" s="286" t="s">
        <v>282</v>
      </c>
    </row>
    <row r="10" spans="1:14" s="29" customFormat="1" ht="30" customHeight="1" x14ac:dyDescent="0.2">
      <c r="A10" s="5"/>
      <c r="B10" s="288">
        <v>1</v>
      </c>
      <c r="C10" s="289"/>
      <c r="D10" s="290" t="s">
        <v>357</v>
      </c>
      <c r="E10" s="290" t="s">
        <v>358</v>
      </c>
      <c r="F10" s="78">
        <v>15</v>
      </c>
      <c r="G10" s="291">
        <v>621.73299999999995</v>
      </c>
      <c r="H10" s="292">
        <f>ROUND(F10*G10,2)</f>
        <v>9326</v>
      </c>
      <c r="I10" s="293">
        <v>0</v>
      </c>
      <c r="J10" s="293">
        <f t="shared" ref="J10:J19" si="0">IF(G10&lt;=248.93,0,(IFERROR(IF(ROUND((((H10/F10*30.4)-VLOOKUP((H10/F10*30.4),TARIFA,1))*VLOOKUP((H10/F10*30.4),TARIFA,3)+VLOOKUP((H10/F10*30.4),TARIFA,2)-VLOOKUP((H10/F10*30.4),SUBSIDIO,2))/30.4*F10,2)&gt;0,ROUND((((H10/F10*30.4)-VLOOKUP((H10/F10*30.4),TARIFA,1))*VLOOKUP((H10/F10*30.4),TARIFA,3)+VLOOKUP((H10/F10*30.4),TARIFA,2)-VLOOKUP((H10/F10*30.4),SUBSIDIO,2))/30.4*F10,2),0),0)))</f>
        <v>1169.01</v>
      </c>
      <c r="K10" s="294">
        <v>0</v>
      </c>
      <c r="L10" s="295">
        <f>J11+K10</f>
        <v>1169.01</v>
      </c>
      <c r="M10" s="296">
        <f>H10-L10</f>
        <v>8156.99</v>
      </c>
      <c r="N10" s="297"/>
    </row>
    <row r="11" spans="1:14" s="29" customFormat="1" ht="30" customHeight="1" x14ac:dyDescent="0.2">
      <c r="A11" s="5"/>
      <c r="B11" s="288">
        <v>2</v>
      </c>
      <c r="C11" s="289"/>
      <c r="D11" s="290" t="s">
        <v>359</v>
      </c>
      <c r="E11" s="290" t="s">
        <v>358</v>
      </c>
      <c r="F11" s="78">
        <v>15</v>
      </c>
      <c r="G11" s="291">
        <v>621.73299999999995</v>
      </c>
      <c r="H11" s="292">
        <f t="shared" ref="H11:H19" si="1">ROUND(F11*G11,2)</f>
        <v>9326</v>
      </c>
      <c r="I11" s="293">
        <v>0</v>
      </c>
      <c r="J11" s="293">
        <f t="shared" si="0"/>
        <v>1169.01</v>
      </c>
      <c r="K11" s="293">
        <v>0</v>
      </c>
      <c r="L11" s="295">
        <f>J11</f>
        <v>1169.01</v>
      </c>
      <c r="M11" s="296">
        <f>H11-L11</f>
        <v>8156.99</v>
      </c>
      <c r="N11" s="297"/>
    </row>
    <row r="12" spans="1:14" s="29" customFormat="1" ht="30" customHeight="1" x14ac:dyDescent="0.2">
      <c r="A12" s="5"/>
      <c r="B12" s="288">
        <v>3</v>
      </c>
      <c r="C12" s="289"/>
      <c r="D12" s="290" t="s">
        <v>454</v>
      </c>
      <c r="E12" s="290" t="s">
        <v>358</v>
      </c>
      <c r="F12" s="78">
        <v>15</v>
      </c>
      <c r="G12" s="291">
        <v>621.73299999999995</v>
      </c>
      <c r="H12" s="292">
        <f t="shared" ref="H12" si="2">ROUND(F12*G12,2)</f>
        <v>9326</v>
      </c>
      <c r="I12" s="293">
        <v>0</v>
      </c>
      <c r="J12" s="293">
        <f t="shared" ref="J12" si="3">IF(G12&lt;=248.93,0,(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))</f>
        <v>1169.01</v>
      </c>
      <c r="K12" s="293">
        <v>0</v>
      </c>
      <c r="L12" s="295">
        <f>J12</f>
        <v>1169.01</v>
      </c>
      <c r="M12" s="296">
        <f>H12-L12</f>
        <v>8156.99</v>
      </c>
      <c r="N12" s="297"/>
    </row>
    <row r="13" spans="1:14" s="29" customFormat="1" ht="30" customHeight="1" x14ac:dyDescent="0.2">
      <c r="A13" s="5"/>
      <c r="B13" s="288">
        <v>5</v>
      </c>
      <c r="C13" s="289"/>
      <c r="D13" s="290" t="s">
        <v>360</v>
      </c>
      <c r="E13" s="290" t="s">
        <v>358</v>
      </c>
      <c r="F13" s="78">
        <v>15</v>
      </c>
      <c r="G13" s="291">
        <v>621.73299999999995</v>
      </c>
      <c r="H13" s="292">
        <f t="shared" si="1"/>
        <v>9326</v>
      </c>
      <c r="I13" s="293">
        <v>0</v>
      </c>
      <c r="J13" s="293">
        <f t="shared" si="0"/>
        <v>1169.01</v>
      </c>
      <c r="K13" s="293">
        <v>0</v>
      </c>
      <c r="L13" s="295">
        <f t="shared" ref="L13:L19" si="4">J13</f>
        <v>1169.01</v>
      </c>
      <c r="M13" s="296">
        <f t="shared" ref="M13:M19" si="5">H13-L13</f>
        <v>8156.99</v>
      </c>
      <c r="N13" s="297"/>
    </row>
    <row r="14" spans="1:14" s="29" customFormat="1" ht="30" customHeight="1" x14ac:dyDescent="0.2">
      <c r="A14" s="5"/>
      <c r="B14" s="288">
        <v>6</v>
      </c>
      <c r="C14" s="289"/>
      <c r="D14" s="290" t="s">
        <v>361</v>
      </c>
      <c r="E14" s="290" t="s">
        <v>358</v>
      </c>
      <c r="F14" s="78">
        <v>15</v>
      </c>
      <c r="G14" s="291">
        <v>621.73299999999995</v>
      </c>
      <c r="H14" s="292">
        <f t="shared" si="1"/>
        <v>9326</v>
      </c>
      <c r="I14" s="293">
        <v>0</v>
      </c>
      <c r="J14" s="293">
        <f t="shared" si="0"/>
        <v>1169.01</v>
      </c>
      <c r="K14" s="293">
        <v>0</v>
      </c>
      <c r="L14" s="295">
        <f t="shared" si="4"/>
        <v>1169.01</v>
      </c>
      <c r="M14" s="296">
        <f t="shared" si="5"/>
        <v>8156.99</v>
      </c>
      <c r="N14" s="297"/>
    </row>
    <row r="15" spans="1:14" s="29" customFormat="1" ht="30" customHeight="1" x14ac:dyDescent="0.2">
      <c r="A15" s="5"/>
      <c r="B15" s="288">
        <v>7</v>
      </c>
      <c r="C15" s="289"/>
      <c r="D15" s="290" t="s">
        <v>362</v>
      </c>
      <c r="E15" s="290" t="s">
        <v>358</v>
      </c>
      <c r="F15" s="78">
        <v>15</v>
      </c>
      <c r="G15" s="291">
        <v>621.73299999999995</v>
      </c>
      <c r="H15" s="292">
        <f t="shared" si="1"/>
        <v>9326</v>
      </c>
      <c r="I15" s="293">
        <v>0</v>
      </c>
      <c r="J15" s="293">
        <f t="shared" si="0"/>
        <v>1169.01</v>
      </c>
      <c r="K15" s="293">
        <v>0</v>
      </c>
      <c r="L15" s="295">
        <f t="shared" si="4"/>
        <v>1169.01</v>
      </c>
      <c r="M15" s="296">
        <f t="shared" si="5"/>
        <v>8156.99</v>
      </c>
      <c r="N15" s="297"/>
    </row>
    <row r="16" spans="1:14" s="29" customFormat="1" ht="30" customHeight="1" x14ac:dyDescent="0.2">
      <c r="A16" s="5"/>
      <c r="B16" s="288">
        <v>8</v>
      </c>
      <c r="C16" s="289"/>
      <c r="D16" s="290" t="s">
        <v>363</v>
      </c>
      <c r="E16" s="290" t="s">
        <v>358</v>
      </c>
      <c r="F16" s="78">
        <v>15</v>
      </c>
      <c r="G16" s="291">
        <v>621.73299999999995</v>
      </c>
      <c r="H16" s="292">
        <f t="shared" si="1"/>
        <v>9326</v>
      </c>
      <c r="I16" s="293">
        <v>0</v>
      </c>
      <c r="J16" s="293">
        <f t="shared" si="0"/>
        <v>1169.01</v>
      </c>
      <c r="K16" s="293">
        <v>0</v>
      </c>
      <c r="L16" s="295">
        <f t="shared" si="4"/>
        <v>1169.01</v>
      </c>
      <c r="M16" s="296">
        <f t="shared" si="5"/>
        <v>8156.99</v>
      </c>
      <c r="N16" s="297"/>
    </row>
    <row r="17" spans="1:14" s="29" customFormat="1" ht="30" customHeight="1" x14ac:dyDescent="0.2">
      <c r="A17" s="5"/>
      <c r="B17" s="288">
        <v>9</v>
      </c>
      <c r="C17" s="289"/>
      <c r="D17" s="290" t="s">
        <v>364</v>
      </c>
      <c r="E17" s="290" t="s">
        <v>358</v>
      </c>
      <c r="F17" s="78">
        <v>15</v>
      </c>
      <c r="G17" s="291">
        <v>621.73299999999995</v>
      </c>
      <c r="H17" s="292">
        <f t="shared" si="1"/>
        <v>9326</v>
      </c>
      <c r="I17" s="293">
        <v>0</v>
      </c>
      <c r="J17" s="293">
        <f t="shared" si="0"/>
        <v>1169.01</v>
      </c>
      <c r="K17" s="293">
        <v>0</v>
      </c>
      <c r="L17" s="295">
        <f t="shared" si="4"/>
        <v>1169.01</v>
      </c>
      <c r="M17" s="296">
        <f t="shared" si="5"/>
        <v>8156.99</v>
      </c>
      <c r="N17" s="297"/>
    </row>
    <row r="18" spans="1:14" s="29" customFormat="1" ht="30" customHeight="1" x14ac:dyDescent="0.2">
      <c r="A18" s="5"/>
      <c r="B18" s="288">
        <v>10</v>
      </c>
      <c r="C18" s="289"/>
      <c r="D18" s="290" t="s">
        <v>365</v>
      </c>
      <c r="E18" s="290" t="s">
        <v>358</v>
      </c>
      <c r="F18" s="78">
        <v>15</v>
      </c>
      <c r="G18" s="291">
        <v>621.73299999999995</v>
      </c>
      <c r="H18" s="292">
        <f t="shared" si="1"/>
        <v>9326</v>
      </c>
      <c r="I18" s="293">
        <v>0</v>
      </c>
      <c r="J18" s="293">
        <f t="shared" si="0"/>
        <v>1169.01</v>
      </c>
      <c r="K18" s="293">
        <v>0</v>
      </c>
      <c r="L18" s="295">
        <f t="shared" si="4"/>
        <v>1169.01</v>
      </c>
      <c r="M18" s="296">
        <f t="shared" si="5"/>
        <v>8156.99</v>
      </c>
      <c r="N18" s="297"/>
    </row>
    <row r="19" spans="1:14" s="29" customFormat="1" ht="30" customHeight="1" x14ac:dyDescent="0.2">
      <c r="A19" s="5"/>
      <c r="B19" s="288">
        <v>11</v>
      </c>
      <c r="C19" s="289"/>
      <c r="D19" s="290" t="s">
        <v>366</v>
      </c>
      <c r="E19" s="290" t="s">
        <v>367</v>
      </c>
      <c r="F19" s="78">
        <v>15</v>
      </c>
      <c r="G19" s="291">
        <v>621.73299999999995</v>
      </c>
      <c r="H19" s="292">
        <f t="shared" si="1"/>
        <v>9326</v>
      </c>
      <c r="I19" s="293">
        <v>0</v>
      </c>
      <c r="J19" s="293">
        <f t="shared" si="0"/>
        <v>1169.01</v>
      </c>
      <c r="K19" s="293">
        <v>0</v>
      </c>
      <c r="L19" s="295">
        <f t="shared" si="4"/>
        <v>1169.01</v>
      </c>
      <c r="M19" s="296">
        <f t="shared" si="5"/>
        <v>8156.99</v>
      </c>
      <c r="N19" s="297"/>
    </row>
    <row r="20" spans="1:14" s="287" customFormat="1" x14ac:dyDescent="0.2">
      <c r="A20" s="5"/>
      <c r="B20" s="371" t="s">
        <v>17</v>
      </c>
      <c r="C20" s="372"/>
      <c r="D20" s="372"/>
      <c r="E20" s="372"/>
      <c r="F20" s="372"/>
      <c r="G20" s="266"/>
      <c r="H20" s="298">
        <f>SUM(H10:H19)</f>
        <v>93260</v>
      </c>
      <c r="I20" s="293">
        <v>0</v>
      </c>
      <c r="J20" s="298">
        <f t="shared" ref="J20:M20" si="6">SUM(J10:J19)</f>
        <v>11690.1</v>
      </c>
      <c r="K20" s="298">
        <f t="shared" si="6"/>
        <v>0</v>
      </c>
      <c r="L20" s="298">
        <f t="shared" si="6"/>
        <v>11690.1</v>
      </c>
      <c r="M20" s="298">
        <f t="shared" si="6"/>
        <v>81569.899999999994</v>
      </c>
      <c r="N20" s="299">
        <f t="shared" ref="N20" si="7">SUM(N10:N19)</f>
        <v>0</v>
      </c>
    </row>
    <row r="21" spans="1:14" x14ac:dyDescent="0.2">
      <c r="B21" s="300"/>
      <c r="C21" s="43"/>
      <c r="D21" s="43"/>
      <c r="E21" s="43"/>
      <c r="F21" s="43"/>
      <c r="G21" s="43"/>
      <c r="H21" s="301"/>
      <c r="I21" s="43"/>
      <c r="J21" s="43"/>
      <c r="K21" s="43"/>
      <c r="L21" s="43"/>
      <c r="M21" s="43"/>
      <c r="N21" s="302"/>
    </row>
    <row r="22" spans="1:14" x14ac:dyDescent="0.2">
      <c r="B22" s="300"/>
      <c r="C22" s="43"/>
      <c r="D22" s="43"/>
      <c r="E22" s="43"/>
      <c r="F22" s="43"/>
      <c r="G22" s="43"/>
      <c r="H22" s="301"/>
      <c r="I22" s="43"/>
      <c r="J22" s="43"/>
      <c r="K22" s="43"/>
      <c r="L22" s="43"/>
      <c r="M22" s="43"/>
      <c r="N22" s="302"/>
    </row>
    <row r="23" spans="1:14" x14ac:dyDescent="0.2">
      <c r="B23" s="300"/>
      <c r="C23" s="43"/>
      <c r="D23" s="43"/>
      <c r="E23" s="43"/>
      <c r="F23" s="43"/>
      <c r="G23" s="43"/>
      <c r="H23" s="301"/>
      <c r="I23" s="43"/>
      <c r="J23" s="43"/>
      <c r="K23" s="43"/>
      <c r="L23" s="43"/>
      <c r="M23" s="43"/>
      <c r="N23" s="302"/>
    </row>
    <row r="24" spans="1:14" x14ac:dyDescent="0.2">
      <c r="B24" s="300"/>
      <c r="C24" s="43"/>
      <c r="D24" s="43"/>
      <c r="E24" s="43"/>
      <c r="F24" s="43"/>
      <c r="G24" s="43"/>
      <c r="H24" s="301"/>
      <c r="I24" s="43"/>
      <c r="J24" s="43"/>
      <c r="K24" s="43"/>
      <c r="L24" s="43"/>
      <c r="M24" s="43"/>
      <c r="N24" s="302"/>
    </row>
    <row r="25" spans="1:14" x14ac:dyDescent="0.2">
      <c r="B25" s="300"/>
      <c r="C25" s="43"/>
      <c r="D25" s="43"/>
      <c r="E25" s="43"/>
      <c r="F25" s="43"/>
      <c r="G25" s="43"/>
      <c r="H25" s="301"/>
      <c r="I25" s="43"/>
      <c r="J25" s="43"/>
      <c r="K25" s="43"/>
      <c r="L25" s="43"/>
      <c r="M25" s="43"/>
      <c r="N25" s="303"/>
    </row>
    <row r="26" spans="1:14" ht="13.5" x14ac:dyDescent="0.2">
      <c r="B26" s="88"/>
      <c r="D26" s="375" t="s">
        <v>455</v>
      </c>
      <c r="E26" s="375"/>
      <c r="L26" s="87" t="s">
        <v>280</v>
      </c>
      <c r="M26" s="87"/>
      <c r="N26" s="86"/>
    </row>
    <row r="27" spans="1:14" ht="12.75" customHeight="1" x14ac:dyDescent="0.2">
      <c r="B27" s="88"/>
      <c r="D27" s="373" t="s">
        <v>279</v>
      </c>
      <c r="E27" s="373"/>
      <c r="L27" s="373" t="s">
        <v>281</v>
      </c>
      <c r="M27" s="373"/>
      <c r="N27" s="374"/>
    </row>
    <row r="28" spans="1:14" ht="13.5" thickBot="1" x14ac:dyDescent="0.25">
      <c r="B28" s="89"/>
      <c r="C28" s="90"/>
      <c r="D28" s="304"/>
      <c r="E28" s="90"/>
      <c r="F28" s="90"/>
      <c r="G28" s="90"/>
      <c r="H28" s="91"/>
      <c r="I28" s="90"/>
      <c r="J28" s="90"/>
      <c r="K28" s="90"/>
      <c r="L28" s="90"/>
      <c r="M28" s="90"/>
      <c r="N28" s="305"/>
    </row>
    <row r="31" spans="1:14" x14ac:dyDescent="0.2">
      <c r="L31" s="5" t="s">
        <v>90</v>
      </c>
      <c r="M31" s="307"/>
    </row>
    <row r="32" spans="1:14" x14ac:dyDescent="0.2">
      <c r="L32" s="5" t="s">
        <v>91</v>
      </c>
      <c r="M32" s="307">
        <f>M13+M14+M15+M16+M17+M18+M19+M11+M10+M12</f>
        <v>81569.899999999994</v>
      </c>
    </row>
    <row r="34" spans="4:13" x14ac:dyDescent="0.2">
      <c r="L34" s="5" t="s">
        <v>288</v>
      </c>
      <c r="M34" s="307">
        <f>M32+M31</f>
        <v>81569.899999999994</v>
      </c>
    </row>
    <row r="36" spans="4:13" x14ac:dyDescent="0.2">
      <c r="L36" s="5" t="s">
        <v>289</v>
      </c>
      <c r="M36" s="32">
        <f>M34-M20</f>
        <v>0</v>
      </c>
    </row>
    <row r="40" spans="4:13" x14ac:dyDescent="0.2">
      <c r="D40" s="306" t="s">
        <v>368</v>
      </c>
      <c r="E40" s="308">
        <f>M34+BASE!L108+EVENTUALES!K156+PENSIONADOS!AI25+'Apoyos '!G22+'Apoyos '!G54</f>
        <v>601641.81000000006</v>
      </c>
      <c r="J40" s="5" t="s">
        <v>369</v>
      </c>
      <c r="M40" s="308">
        <f>M31+BASE!L106+EVENTUALES!K154+PENSIONADOS!AI25+'Apoyos '!G22+'Apoyos '!G54+'SEG. PUBLICA'!L47+PROT.CIVIL!L41</f>
        <v>504129.01000000013</v>
      </c>
    </row>
    <row r="42" spans="4:13" x14ac:dyDescent="0.2">
      <c r="D42" s="306" t="s">
        <v>370</v>
      </c>
      <c r="E42" s="308">
        <f>'SEG. PUBLICA'!L50+PROT.CIVIL!L44</f>
        <v>246297.10000000003</v>
      </c>
      <c r="J42" s="5" t="s">
        <v>371</v>
      </c>
      <c r="M42" s="308">
        <f>M32+BASE!L107+EVENTUALES!K155+'SEG. PUBLICA'!L49+PROT.CIVIL!L43</f>
        <v>343809.89999999997</v>
      </c>
    </row>
    <row r="44" spans="4:13" x14ac:dyDescent="0.2">
      <c r="D44" s="306" t="s">
        <v>127</v>
      </c>
      <c r="E44" s="308">
        <f>E40+E42</f>
        <v>847938.91000000015</v>
      </c>
      <c r="J44" s="5" t="s">
        <v>127</v>
      </c>
      <c r="M44" s="308">
        <f>SUM(M40:M43)</f>
        <v>847938.91000000015</v>
      </c>
    </row>
  </sheetData>
  <mergeCells count="6">
    <mergeCell ref="E2:N2"/>
    <mergeCell ref="F8:L8"/>
    <mergeCell ref="B20:F20"/>
    <mergeCell ref="D27:E27"/>
    <mergeCell ref="L27:N27"/>
    <mergeCell ref="D26:E26"/>
  </mergeCells>
  <pageMargins left="0.70866141732283472" right="0.70866141732283472" top="0.74803149606299213" bottom="0.15748031496062992" header="0.31496062992125984" footer="0.11811023622047245"/>
  <pageSetup scale="7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R110"/>
  <sheetViews>
    <sheetView showGridLines="0" topLeftCell="A79" zoomScale="90" zoomScaleNormal="90" workbookViewId="0">
      <selection activeCell="F80" sqref="F1:F1048576"/>
    </sheetView>
  </sheetViews>
  <sheetFormatPr baseColWidth="10" defaultColWidth="11.42578125" defaultRowHeight="17.25" x14ac:dyDescent="0.2"/>
  <cols>
    <col min="1" max="1" width="2.5703125" style="28" customWidth="1"/>
    <col min="2" max="3" width="3.5703125" style="4" customWidth="1"/>
    <col min="4" max="4" width="32.5703125" style="66" customWidth="1"/>
    <col min="5" max="5" width="21.7109375" style="34" customWidth="1"/>
    <col min="6" max="6" width="4.85546875" style="25" customWidth="1"/>
    <col min="7" max="7" width="8.5703125" style="25" customWidth="1"/>
    <col min="8" max="8" width="10.7109375" style="25" customWidth="1"/>
    <col min="9" max="9" width="8.140625" style="25" customWidth="1"/>
    <col min="10" max="10" width="9.42578125" style="25" customWidth="1"/>
    <col min="11" max="11" width="9.7109375" style="25" customWidth="1"/>
    <col min="12" max="12" width="10.85546875" style="25" customWidth="1"/>
    <col min="13" max="13" width="26.7109375" style="4" customWidth="1"/>
    <col min="14" max="16384" width="11.42578125" style="28"/>
  </cols>
  <sheetData>
    <row r="1" spans="1:13" ht="14.25" x14ac:dyDescent="0.2">
      <c r="B1" s="265" t="s">
        <v>28</v>
      </c>
      <c r="C1" s="201"/>
      <c r="D1" s="126"/>
      <c r="E1" s="127"/>
      <c r="F1" s="128"/>
      <c r="G1" s="128"/>
      <c r="H1" s="128"/>
      <c r="I1" s="128"/>
      <c r="J1" s="128"/>
      <c r="K1" s="128"/>
      <c r="L1" s="128"/>
      <c r="M1" s="129"/>
    </row>
    <row r="2" spans="1:13" ht="20.25" x14ac:dyDescent="0.2">
      <c r="B2" s="130"/>
      <c r="C2" s="202"/>
      <c r="D2" s="74"/>
      <c r="E2" s="376" t="s">
        <v>285</v>
      </c>
      <c r="F2" s="376"/>
      <c r="G2" s="376"/>
      <c r="H2" s="376"/>
      <c r="I2" s="376"/>
      <c r="J2" s="376"/>
      <c r="K2" s="131"/>
      <c r="L2" s="131"/>
      <c r="M2" s="132"/>
    </row>
    <row r="3" spans="1:13" ht="14.25" x14ac:dyDescent="0.2">
      <c r="B3" s="130"/>
      <c r="C3" s="202"/>
      <c r="D3" s="74"/>
      <c r="E3" s="133"/>
      <c r="F3" s="131"/>
      <c r="G3" s="131"/>
      <c r="H3" s="131"/>
      <c r="I3" s="131"/>
      <c r="J3" s="131"/>
      <c r="K3" s="131"/>
      <c r="L3" s="131"/>
      <c r="M3" s="132"/>
    </row>
    <row r="4" spans="1:13" ht="14.25" x14ac:dyDescent="0.2">
      <c r="B4" s="130"/>
      <c r="C4" s="202"/>
      <c r="D4" s="74"/>
      <c r="E4" s="133"/>
      <c r="F4" s="131"/>
      <c r="G4" s="131"/>
      <c r="H4" s="131"/>
      <c r="I4" s="131"/>
      <c r="J4" s="131"/>
      <c r="K4" s="131"/>
      <c r="L4" s="131"/>
      <c r="M4" s="132"/>
    </row>
    <row r="5" spans="1:13" ht="18" customHeight="1" x14ac:dyDescent="0.2">
      <c r="B5" s="134"/>
      <c r="C5" s="38"/>
      <c r="D5" s="74"/>
      <c r="E5" s="377" t="s">
        <v>286</v>
      </c>
      <c r="F5" s="377"/>
      <c r="G5" s="377"/>
      <c r="H5" s="377"/>
      <c r="I5" s="377"/>
      <c r="J5" s="377"/>
      <c r="K5" s="378"/>
      <c r="L5" s="378"/>
      <c r="M5" s="379"/>
    </row>
    <row r="6" spans="1:13" ht="18" customHeight="1" x14ac:dyDescent="0.2">
      <c r="B6" s="134"/>
      <c r="C6" s="38"/>
      <c r="D6" s="74"/>
      <c r="E6" s="138"/>
      <c r="F6" s="138"/>
      <c r="G6" s="138"/>
      <c r="H6" s="138"/>
      <c r="I6" s="146"/>
      <c r="J6" s="146"/>
      <c r="K6" s="139"/>
      <c r="L6" s="139"/>
      <c r="M6" s="140"/>
    </row>
    <row r="7" spans="1:13" ht="18" customHeight="1" thickBot="1" x14ac:dyDescent="0.25">
      <c r="B7" s="134"/>
      <c r="C7" s="38"/>
      <c r="D7" s="380" t="s">
        <v>478</v>
      </c>
      <c r="E7" s="380"/>
      <c r="F7" s="380"/>
      <c r="G7" s="380"/>
      <c r="H7" s="380"/>
      <c r="I7" s="380"/>
      <c r="J7" s="146"/>
      <c r="K7" s="139"/>
      <c r="L7" s="139"/>
      <c r="M7" s="140"/>
    </row>
    <row r="8" spans="1:13" s="27" customFormat="1" ht="36" x14ac:dyDescent="0.2">
      <c r="A8" s="28"/>
      <c r="B8" s="100" t="s">
        <v>278</v>
      </c>
      <c r="C8" s="203" t="s">
        <v>340</v>
      </c>
      <c r="D8" s="101" t="s">
        <v>14</v>
      </c>
      <c r="E8" s="101" t="s">
        <v>273</v>
      </c>
      <c r="F8" s="101" t="s">
        <v>276</v>
      </c>
      <c r="G8" s="101" t="s">
        <v>277</v>
      </c>
      <c r="H8" s="102" t="s">
        <v>274</v>
      </c>
      <c r="I8" s="101" t="s">
        <v>290</v>
      </c>
      <c r="J8" s="101" t="s">
        <v>291</v>
      </c>
      <c r="K8" s="103" t="s">
        <v>275</v>
      </c>
      <c r="L8" s="104" t="s">
        <v>272</v>
      </c>
      <c r="M8" s="105" t="s">
        <v>282</v>
      </c>
    </row>
    <row r="9" spans="1:13" s="29" customFormat="1" ht="30" customHeight="1" x14ac:dyDescent="0.2">
      <c r="A9" s="5"/>
      <c r="B9" s="106">
        <v>1</v>
      </c>
      <c r="C9" s="204"/>
      <c r="D9" s="92" t="s">
        <v>434</v>
      </c>
      <c r="E9" s="92" t="s">
        <v>87</v>
      </c>
      <c r="F9" s="63">
        <v>15</v>
      </c>
      <c r="G9" s="93">
        <v>1484.2</v>
      </c>
      <c r="H9" s="94">
        <f t="shared" ref="H9:H13" si="0">ROUND(F9*G9,2)</f>
        <v>22263</v>
      </c>
      <c r="I9" s="149">
        <v>0</v>
      </c>
      <c r="J9" s="147">
        <f t="shared" ref="J9:J13" si="1">IF(G9&lt;=248.93,0,(IFERROR(IF(ROUND((((H9/F9*30.4)-VLOOKUP((H9/F9*30.4),TARIFA,1))*VLOOKUP((H9/F9*30.4),TARIFA,3)+VLOOKUP((H9/F9*30.4),TARIFA,2)-VLOOKUP((H9/F9*30.4),SUBSIDIO,2))/30.4*F9,2)&gt;0,ROUND((((H9/F9*30.4)-VLOOKUP((H9/F9*30.4),TARIFA,1))*VLOOKUP((H9/F9*30.4),TARIFA,3)+VLOOKUP((H9/F9*30.4),TARIFA,2)-VLOOKUP((H9/F9*30.4),SUBSIDIO,2))/30.4*F9,2),0),0)))</f>
        <v>4080.32</v>
      </c>
      <c r="K9" s="95">
        <f t="shared" ref="K9:K12" si="2">J9</f>
        <v>4080.32</v>
      </c>
      <c r="L9" s="95">
        <f t="shared" ref="L9:L12" si="3">H9+I9-K9</f>
        <v>18182.68</v>
      </c>
      <c r="M9" s="107"/>
    </row>
    <row r="10" spans="1:13" s="29" customFormat="1" ht="30" customHeight="1" x14ac:dyDescent="0.2">
      <c r="A10" s="5"/>
      <c r="B10" s="106">
        <v>2</v>
      </c>
      <c r="C10" s="204" t="s">
        <v>340</v>
      </c>
      <c r="D10" s="92" t="s">
        <v>481</v>
      </c>
      <c r="E10" s="92" t="s">
        <v>105</v>
      </c>
      <c r="F10" s="63">
        <v>15</v>
      </c>
      <c r="G10" s="93">
        <v>335.33300000000003</v>
      </c>
      <c r="H10" s="94">
        <f t="shared" si="0"/>
        <v>5030</v>
      </c>
      <c r="I10" s="149">
        <v>0</v>
      </c>
      <c r="J10" s="147">
        <f t="shared" si="1"/>
        <v>390.8</v>
      </c>
      <c r="K10" s="95">
        <f t="shared" si="2"/>
        <v>390.8</v>
      </c>
      <c r="L10" s="95">
        <f t="shared" si="3"/>
        <v>4639.2</v>
      </c>
      <c r="M10" s="107"/>
    </row>
    <row r="11" spans="1:13" s="5" customFormat="1" ht="30" customHeight="1" x14ac:dyDescent="0.2">
      <c r="B11" s="106">
        <v>3</v>
      </c>
      <c r="C11" s="204"/>
      <c r="D11" s="92" t="s">
        <v>132</v>
      </c>
      <c r="E11" s="92" t="s">
        <v>121</v>
      </c>
      <c r="F11" s="63">
        <v>15</v>
      </c>
      <c r="G11" s="93">
        <v>582.4</v>
      </c>
      <c r="H11" s="94">
        <f t="shared" si="0"/>
        <v>8736</v>
      </c>
      <c r="I11" s="149">
        <v>0</v>
      </c>
      <c r="J11" s="147">
        <f t="shared" si="1"/>
        <v>1042.98</v>
      </c>
      <c r="K11" s="95">
        <f t="shared" si="2"/>
        <v>1042.98</v>
      </c>
      <c r="L11" s="95">
        <f t="shared" si="3"/>
        <v>7693.02</v>
      </c>
      <c r="M11" s="107"/>
    </row>
    <row r="12" spans="1:13" s="27" customFormat="1" ht="30" customHeight="1" x14ac:dyDescent="0.2">
      <c r="A12" s="28"/>
      <c r="B12" s="106">
        <v>4</v>
      </c>
      <c r="C12" s="204" t="s">
        <v>340</v>
      </c>
      <c r="D12" s="92" t="s">
        <v>166</v>
      </c>
      <c r="E12" s="92" t="s">
        <v>81</v>
      </c>
      <c r="F12" s="63">
        <v>15</v>
      </c>
      <c r="G12" s="93">
        <v>186.26650000000001</v>
      </c>
      <c r="H12" s="94">
        <f t="shared" si="0"/>
        <v>2794</v>
      </c>
      <c r="I12" s="149">
        <v>0</v>
      </c>
      <c r="J12" s="147">
        <f t="shared" si="1"/>
        <v>0</v>
      </c>
      <c r="K12" s="143">
        <f t="shared" si="2"/>
        <v>0</v>
      </c>
      <c r="L12" s="95">
        <f t="shared" si="3"/>
        <v>2794</v>
      </c>
      <c r="M12" s="107"/>
    </row>
    <row r="13" spans="1:13" s="29" customFormat="1" ht="30" customHeight="1" x14ac:dyDescent="0.2">
      <c r="A13" s="5"/>
      <c r="B13" s="106">
        <v>5</v>
      </c>
      <c r="C13" s="204"/>
      <c r="D13" s="92" t="s">
        <v>167</v>
      </c>
      <c r="E13" s="92" t="s">
        <v>86</v>
      </c>
      <c r="F13" s="63">
        <v>15</v>
      </c>
      <c r="G13" s="93">
        <v>314.60000000000002</v>
      </c>
      <c r="H13" s="94">
        <f t="shared" si="0"/>
        <v>4719</v>
      </c>
      <c r="I13" s="149">
        <v>0</v>
      </c>
      <c r="J13" s="147">
        <f t="shared" si="1"/>
        <v>356.96</v>
      </c>
      <c r="K13" s="95">
        <f>J13</f>
        <v>356.96</v>
      </c>
      <c r="L13" s="95">
        <f>H13+I13-K13</f>
        <v>4362.04</v>
      </c>
      <c r="M13" s="107"/>
    </row>
    <row r="14" spans="1:13" s="30" customFormat="1" ht="30" customHeight="1" x14ac:dyDescent="0.2">
      <c r="A14" s="26"/>
      <c r="B14" s="108"/>
      <c r="C14" s="205"/>
      <c r="D14" s="72"/>
      <c r="E14" s="65" t="s">
        <v>113</v>
      </c>
      <c r="F14" s="197"/>
      <c r="G14" s="64"/>
      <c r="H14" s="97">
        <f>SUM(H9:H13)</f>
        <v>43542</v>
      </c>
      <c r="I14" s="142">
        <f>SUM(I9:I13)</f>
        <v>0</v>
      </c>
      <c r="J14" s="97">
        <f>SUM(J9:J13)</f>
        <v>5871.06</v>
      </c>
      <c r="K14" s="97">
        <f>SUM(K9:K13)</f>
        <v>5871.06</v>
      </c>
      <c r="L14" s="97">
        <f>SUM(L9:L13)</f>
        <v>37670.94</v>
      </c>
      <c r="M14" s="109"/>
    </row>
    <row r="15" spans="1:13" s="27" customFormat="1" ht="30" customHeight="1" x14ac:dyDescent="0.2">
      <c r="A15" s="28"/>
      <c r="B15" s="381" t="s">
        <v>34</v>
      </c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3"/>
    </row>
    <row r="16" spans="1:13" s="29" customFormat="1" ht="30" customHeight="1" x14ac:dyDescent="0.2">
      <c r="A16" s="5"/>
      <c r="B16" s="106">
        <v>6</v>
      </c>
      <c r="C16" s="204"/>
      <c r="D16" s="98" t="s">
        <v>152</v>
      </c>
      <c r="E16" s="92" t="s">
        <v>77</v>
      </c>
      <c r="F16" s="63">
        <v>15</v>
      </c>
      <c r="G16" s="93">
        <v>844.13300000000004</v>
      </c>
      <c r="H16" s="94">
        <f>ROUND(F16*G16,2)</f>
        <v>12662</v>
      </c>
      <c r="I16" s="147">
        <v>0</v>
      </c>
      <c r="J16" s="147">
        <f>IF(G16&lt;=248.93,0,(IFERROR(IF(ROUND((((H16/F16*30.4)-VLOOKUP((H16/F16*30.4),TARIFA,1))*VLOOKUP((H16/F16*30.4),TARIFA,3)+VLOOKUP((H16/F16*30.4),TARIFA,2)-VLOOKUP((H16/F16*30.4),SUBSIDIO,2))/30.4*F16,2)&gt;0,ROUND((((H16/F16*30.4)-VLOOKUP((H16/F16*30.4),TARIFA,1))*VLOOKUP((H16/F16*30.4),TARIFA,3)+VLOOKUP((H16/F16*30.4),TARIFA,2)-VLOOKUP((H16/F16*30.4),SUBSIDIO,2))/30.4*F16,2),0),0)))</f>
        <v>1881.58</v>
      </c>
      <c r="K16" s="95">
        <f>J16</f>
        <v>1881.58</v>
      </c>
      <c r="L16" s="95">
        <f>H16+I16-K16</f>
        <v>10780.42</v>
      </c>
      <c r="M16" s="110"/>
    </row>
    <row r="17" spans="1:96" s="30" customFormat="1" ht="30" customHeight="1" x14ac:dyDescent="0.2">
      <c r="A17" s="26"/>
      <c r="B17" s="108"/>
      <c r="C17" s="205"/>
      <c r="D17" s="72"/>
      <c r="E17" s="65" t="s">
        <v>33</v>
      </c>
      <c r="F17" s="65"/>
      <c r="G17" s="99"/>
      <c r="H17" s="97">
        <f>SUM(H16:H16)</f>
        <v>12662</v>
      </c>
      <c r="I17" s="142">
        <f>SUM(I16:I16)</f>
        <v>0</v>
      </c>
      <c r="J17" s="97">
        <f>SUM(J16:J16)</f>
        <v>1881.58</v>
      </c>
      <c r="K17" s="97">
        <f>SUM(K16:K16)</f>
        <v>1881.58</v>
      </c>
      <c r="L17" s="97">
        <f>SUM(L16:L16)</f>
        <v>10780.42</v>
      </c>
      <c r="M17" s="109"/>
    </row>
    <row r="18" spans="1:96" s="5" customFormat="1" ht="30" customHeight="1" x14ac:dyDescent="0.2">
      <c r="B18" s="381" t="s">
        <v>78</v>
      </c>
      <c r="C18" s="382"/>
      <c r="D18" s="382"/>
      <c r="E18" s="382"/>
      <c r="F18" s="382"/>
      <c r="G18" s="382"/>
      <c r="H18" s="382"/>
      <c r="I18" s="382"/>
      <c r="J18" s="382"/>
      <c r="K18" s="382"/>
      <c r="L18" s="382"/>
      <c r="M18" s="383"/>
    </row>
    <row r="19" spans="1:96" ht="30" customHeight="1" x14ac:dyDescent="0.2">
      <c r="B19" s="106">
        <v>7</v>
      </c>
      <c r="C19" s="204"/>
      <c r="D19" s="98" t="s">
        <v>168</v>
      </c>
      <c r="E19" s="92" t="s">
        <v>35</v>
      </c>
      <c r="F19" s="63">
        <v>15</v>
      </c>
      <c r="G19" s="93">
        <v>416</v>
      </c>
      <c r="H19" s="94">
        <f>ROUND(F19*G19,2)</f>
        <v>6240</v>
      </c>
      <c r="I19" s="147">
        <v>0</v>
      </c>
      <c r="J19" s="147">
        <f>IF(G19&lt;=248.93,0,(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))</f>
        <v>560.80999999999995</v>
      </c>
      <c r="K19" s="95">
        <f>J19</f>
        <v>560.80999999999995</v>
      </c>
      <c r="L19" s="95">
        <f>H19+I19-K19</f>
        <v>5679.1900000000005</v>
      </c>
      <c r="M19" s="110"/>
    </row>
    <row r="20" spans="1:96" ht="30" customHeight="1" x14ac:dyDescent="0.2">
      <c r="B20" s="106">
        <v>8</v>
      </c>
      <c r="C20" s="204"/>
      <c r="D20" s="98" t="s">
        <v>169</v>
      </c>
      <c r="E20" s="92" t="s">
        <v>42</v>
      </c>
      <c r="F20" s="63">
        <v>15</v>
      </c>
      <c r="G20" s="93">
        <v>285.06650000000002</v>
      </c>
      <c r="H20" s="94">
        <f>ROUND(F20*G20,2)</f>
        <v>4276</v>
      </c>
      <c r="I20" s="147">
        <v>0</v>
      </c>
      <c r="J20" s="147">
        <f>IF(G20&lt;=248.93,0,(IFERROR(IF(ROUND((((H20/F20*30.4)-VLOOKUP((H20/F20*30.4),TARIFA,1))*VLOOKUP((H20/F20*30.4),TARIFA,3)+VLOOKUP((H20/F20*30.4),TARIFA,2)-VLOOKUP((H20/F20*30.4),SUBSIDIO,2))/30.4*F20,2)&gt;0,ROUND((((H20/F20*30.4)-VLOOKUP((H20/F20*30.4),TARIFA,1))*VLOOKUP((H20/F20*30.4),TARIFA,3)+VLOOKUP((H20/F20*30.4),TARIFA,2)-VLOOKUP((H20/F20*30.4),SUBSIDIO,2))/30.4*F20,2),0),0)))</f>
        <v>116.33</v>
      </c>
      <c r="K20" s="95">
        <f>J20</f>
        <v>116.33</v>
      </c>
      <c r="L20" s="95">
        <f>H20+I20-K20</f>
        <v>4159.67</v>
      </c>
      <c r="M20" s="110"/>
    </row>
    <row r="21" spans="1:96" s="5" customFormat="1" ht="30" customHeight="1" x14ac:dyDescent="0.2">
      <c r="B21" s="106"/>
      <c r="C21" s="204"/>
      <c r="D21" s="71"/>
      <c r="E21" s="65" t="s">
        <v>33</v>
      </c>
      <c r="F21" s="197"/>
      <c r="G21" s="99"/>
      <c r="H21" s="97">
        <f>SUM(H19:H20)</f>
        <v>10516</v>
      </c>
      <c r="I21" s="142">
        <f>SUM(I19:I20)</f>
        <v>0</v>
      </c>
      <c r="J21" s="97">
        <f>SUM(J19:J20)</f>
        <v>677.14</v>
      </c>
      <c r="K21" s="97">
        <f>SUM(K19:K20)</f>
        <v>677.14</v>
      </c>
      <c r="L21" s="97">
        <f>SUM(L19:L20)</f>
        <v>9838.86</v>
      </c>
      <c r="M21" s="109"/>
    </row>
    <row r="22" spans="1:96" ht="30" customHeight="1" x14ac:dyDescent="0.2">
      <c r="B22" s="381" t="s">
        <v>36</v>
      </c>
      <c r="C22" s="382"/>
      <c r="D22" s="382"/>
      <c r="E22" s="382"/>
      <c r="F22" s="382"/>
      <c r="G22" s="382"/>
      <c r="H22" s="382"/>
      <c r="I22" s="382"/>
      <c r="J22" s="382"/>
      <c r="K22" s="382"/>
      <c r="L22" s="382"/>
      <c r="M22" s="383"/>
    </row>
    <row r="23" spans="1:96" s="5" customFormat="1" ht="30" customHeight="1" x14ac:dyDescent="0.2">
      <c r="A23" s="5" t="s">
        <v>28</v>
      </c>
      <c r="B23" s="106">
        <v>9</v>
      </c>
      <c r="C23" s="204" t="s">
        <v>340</v>
      </c>
      <c r="D23" s="98" t="s">
        <v>170</v>
      </c>
      <c r="E23" s="92" t="s">
        <v>35</v>
      </c>
      <c r="F23" s="63">
        <v>15</v>
      </c>
      <c r="G23" s="93">
        <v>315.13299999999998</v>
      </c>
      <c r="H23" s="94">
        <f>ROUND(F23*G23,2)</f>
        <v>4727</v>
      </c>
      <c r="I23" s="147">
        <v>0</v>
      </c>
      <c r="J23" s="147">
        <f>IF(G23&lt;=248.93,0,(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))</f>
        <v>357.83</v>
      </c>
      <c r="K23" s="95">
        <f>J23</f>
        <v>357.83</v>
      </c>
      <c r="L23" s="95">
        <f>H23+I23-K23</f>
        <v>4369.17</v>
      </c>
      <c r="M23" s="110"/>
    </row>
    <row r="24" spans="1:96" ht="30" customHeight="1" x14ac:dyDescent="0.2">
      <c r="B24" s="106">
        <v>10</v>
      </c>
      <c r="C24" s="204" t="s">
        <v>340</v>
      </c>
      <c r="D24" s="98" t="s">
        <v>171</v>
      </c>
      <c r="E24" s="92" t="s">
        <v>37</v>
      </c>
      <c r="F24" s="63">
        <v>15</v>
      </c>
      <c r="G24" s="93">
        <v>285.06650000000002</v>
      </c>
      <c r="H24" s="94">
        <f t="shared" ref="H24:H27" si="4">ROUND(F24*G24,2)</f>
        <v>4276</v>
      </c>
      <c r="I24" s="147">
        <v>0</v>
      </c>
      <c r="J24" s="147">
        <f>IF(G24&lt;=248.93,0,(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))</f>
        <v>116.33</v>
      </c>
      <c r="K24" s="95">
        <f>J24</f>
        <v>116.33</v>
      </c>
      <c r="L24" s="95">
        <f>H24+I24-K24</f>
        <v>4159.67</v>
      </c>
      <c r="M24" s="110"/>
    </row>
    <row r="25" spans="1:96" ht="30" customHeight="1" x14ac:dyDescent="0.2">
      <c r="B25" s="106">
        <v>11</v>
      </c>
      <c r="C25" s="204" t="s">
        <v>340</v>
      </c>
      <c r="D25" s="98" t="s">
        <v>172</v>
      </c>
      <c r="E25" s="92" t="s">
        <v>38</v>
      </c>
      <c r="F25" s="63">
        <v>15</v>
      </c>
      <c r="G25" s="93">
        <v>198.53299999999999</v>
      </c>
      <c r="H25" s="94">
        <f t="shared" si="4"/>
        <v>2978</v>
      </c>
      <c r="I25" s="147">
        <v>0</v>
      </c>
      <c r="J25" s="147">
        <f>IF(G25&lt;=248.93,0,(IFERROR(IF(ROUND((((H25/F25*30.4)-VLOOKUP((H25/F25*30.4),TARIFA,1))*VLOOKUP((H25/F25*30.4),TARIFA,3)+VLOOKUP((H25/F25*30.4),TARIFA,2)-VLOOKUP((H25/F25*30.4),SUBSIDIO,2))/30.4*F25,2)&gt;0,ROUND((((H25/F25*30.4)-VLOOKUP((H25/F25*30.4),TARIFA,1))*VLOOKUP((H25/F25*30.4),TARIFA,3)+VLOOKUP((H25/F25*30.4),TARIFA,2)-VLOOKUP((H25/F25*30.4),SUBSIDIO,2))/30.4*F25,2),0),0)))</f>
        <v>0</v>
      </c>
      <c r="K25" s="143">
        <f>J25</f>
        <v>0</v>
      </c>
      <c r="L25" s="95">
        <f>H25+I25-K25</f>
        <v>2978</v>
      </c>
      <c r="M25" s="110"/>
    </row>
    <row r="26" spans="1:96" ht="30" customHeight="1" x14ac:dyDescent="0.2">
      <c r="B26" s="106">
        <v>12</v>
      </c>
      <c r="C26" s="204" t="s">
        <v>340</v>
      </c>
      <c r="D26" s="98" t="s">
        <v>173</v>
      </c>
      <c r="E26" s="92" t="s">
        <v>38</v>
      </c>
      <c r="F26" s="63">
        <v>15</v>
      </c>
      <c r="G26" s="93">
        <v>198.53299999999999</v>
      </c>
      <c r="H26" s="94">
        <f t="shared" si="4"/>
        <v>2978</v>
      </c>
      <c r="I26" s="147">
        <v>0</v>
      </c>
      <c r="J26" s="147">
        <f>IF(G26&lt;=248.93,0,(IFERROR(IF(ROUND((((H26/F26*30.4)-VLOOKUP((H26/F26*30.4),TARIFA,1))*VLOOKUP((H26/F26*30.4),TARIFA,3)+VLOOKUP((H26/F26*30.4),TARIFA,2)-VLOOKUP((H26/F26*30.4),SUBSIDIO,2))/30.4*F26,2)&gt;0,ROUND((((H26/F26*30.4)-VLOOKUP((H26/F26*30.4),TARIFA,1))*VLOOKUP((H26/F26*30.4),TARIFA,3)+VLOOKUP((H26/F26*30.4),TARIFA,2)-VLOOKUP((H26/F26*30.4),SUBSIDIO,2))/30.4*F26,2),0),0)))</f>
        <v>0</v>
      </c>
      <c r="K26" s="143">
        <f>J26</f>
        <v>0</v>
      </c>
      <c r="L26" s="95">
        <f>H26+I26-K26</f>
        <v>2978</v>
      </c>
      <c r="M26" s="110"/>
    </row>
    <row r="27" spans="1:96" ht="30" customHeight="1" x14ac:dyDescent="0.2">
      <c r="B27" s="106">
        <v>13</v>
      </c>
      <c r="C27" s="204" t="s">
        <v>340</v>
      </c>
      <c r="D27" s="98" t="s">
        <v>349</v>
      </c>
      <c r="E27" s="92" t="s">
        <v>38</v>
      </c>
      <c r="F27" s="63">
        <v>15</v>
      </c>
      <c r="G27" s="93">
        <v>198.53299999999999</v>
      </c>
      <c r="H27" s="94">
        <f t="shared" si="4"/>
        <v>2978</v>
      </c>
      <c r="I27" s="147">
        <v>0</v>
      </c>
      <c r="J27" s="147">
        <f>IF(G27&lt;=248.93,0,(IFERROR(IF(ROUND((((H27/F27*30.4)-VLOOKUP((H27/F27*30.4),TARIFA,1))*VLOOKUP((H27/F27*30.4),TARIFA,3)+VLOOKUP((H27/F27*30.4),TARIFA,2)-VLOOKUP((H27/F27*30.4),SUBSIDIO,2))/30.4*F27,2)&gt;0,ROUND((((H27/F27*30.4)-VLOOKUP((H27/F27*30.4),TARIFA,1))*VLOOKUP((H27/F27*30.4),TARIFA,3)+VLOOKUP((H27/F27*30.4),TARIFA,2)-VLOOKUP((H27/F27*30.4),SUBSIDIO,2))/30.4*F27,2),0),0)))</f>
        <v>0</v>
      </c>
      <c r="K27" s="143">
        <f>J27</f>
        <v>0</v>
      </c>
      <c r="L27" s="95">
        <f>H27+I27-K27</f>
        <v>2978</v>
      </c>
      <c r="M27" s="110"/>
    </row>
    <row r="28" spans="1:96" ht="30" customHeight="1" x14ac:dyDescent="0.2">
      <c r="B28" s="106"/>
      <c r="C28" s="204"/>
      <c r="D28" s="71"/>
      <c r="E28" s="65" t="s">
        <v>33</v>
      </c>
      <c r="F28" s="197"/>
      <c r="G28" s="99"/>
      <c r="H28" s="97">
        <f>SUM(H23:H27)</f>
        <v>17937</v>
      </c>
      <c r="I28" s="142">
        <v>0</v>
      </c>
      <c r="J28" s="97">
        <f>SUM(J23:J27)</f>
        <v>474.15999999999997</v>
      </c>
      <c r="K28" s="97">
        <f>SUM(K23:K27)</f>
        <v>474.15999999999997</v>
      </c>
      <c r="L28" s="97">
        <f>SUM(L23:L27)</f>
        <v>17462.84</v>
      </c>
      <c r="M28" s="109"/>
    </row>
    <row r="29" spans="1:96" ht="30" customHeight="1" x14ac:dyDescent="0.2">
      <c r="B29" s="381" t="s">
        <v>150</v>
      </c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3"/>
    </row>
    <row r="30" spans="1:96" s="5" customFormat="1" ht="30" customHeight="1" x14ac:dyDescent="0.2">
      <c r="B30" s="106">
        <v>14</v>
      </c>
      <c r="C30" s="204" t="s">
        <v>340</v>
      </c>
      <c r="D30" s="98" t="s">
        <v>174</v>
      </c>
      <c r="E30" s="92" t="s">
        <v>159</v>
      </c>
      <c r="F30" s="63">
        <v>15</v>
      </c>
      <c r="G30" s="93">
        <v>381.4665</v>
      </c>
      <c r="H30" s="94">
        <f t="shared" ref="H30:H31" si="5">ROUND(F30*G30,2)</f>
        <v>5722</v>
      </c>
      <c r="I30" s="147">
        <v>0</v>
      </c>
      <c r="J30" s="147">
        <f>IF(G30&lt;=248.93,0,(IFERROR(IF(ROUND((((H30/F30*30.4)-VLOOKUP((H30/F30*30.4),TARIFA,1))*VLOOKUP((H30/F30*30.4),TARIFA,3)+VLOOKUP((H30/F30*30.4),TARIFA,2)-VLOOKUP((H30/F30*30.4),SUBSIDIO,2))/30.4*F30,2)&gt;0,ROUND((((H30/F30*30.4)-VLOOKUP((H30/F30*30.4),TARIFA,1))*VLOOKUP((H30/F30*30.4),TARIFA,3)+VLOOKUP((H30/F30*30.4),TARIFA,2)-VLOOKUP((H30/F30*30.4),SUBSIDIO,2))/30.4*F30,2),0),0)))</f>
        <v>477.93</v>
      </c>
      <c r="K30" s="95">
        <f>J30</f>
        <v>477.93</v>
      </c>
      <c r="L30" s="95">
        <f>H30+I30-K30</f>
        <v>5244.07</v>
      </c>
      <c r="M30" s="110"/>
    </row>
    <row r="31" spans="1:96" s="76" customFormat="1" ht="30" customHeight="1" x14ac:dyDescent="0.2">
      <c r="A31" s="5"/>
      <c r="B31" s="106">
        <v>15</v>
      </c>
      <c r="C31" s="204" t="s">
        <v>340</v>
      </c>
      <c r="D31" s="98" t="s">
        <v>162</v>
      </c>
      <c r="E31" s="92" t="s">
        <v>42</v>
      </c>
      <c r="F31" s="63">
        <v>15</v>
      </c>
      <c r="G31" s="95">
        <v>228.733</v>
      </c>
      <c r="H31" s="94">
        <f t="shared" si="5"/>
        <v>3431</v>
      </c>
      <c r="I31" s="147">
        <v>0</v>
      </c>
      <c r="J31" s="147">
        <f>IF(G31&lt;=248.93,0,(IFERROR(IF(ROUND((((H31/F31*30.4)-VLOOKUP((H31/F31*30.4),TARIFA,1))*VLOOKUP((H31/F31*30.4),TARIFA,3)+VLOOKUP((H31/F31*30.4),TARIFA,2)-VLOOKUP((H31/F31*30.4),SUBSIDIO,2))/30.4*F31,2)&gt;0,ROUND((((H31/F31*30.4)-VLOOKUP((H31/F31*30.4),TARIFA,1))*VLOOKUP((H31/F31*30.4),TARIFA,3)+VLOOKUP((H31/F31*30.4),TARIFA,2)-VLOOKUP((H31/F31*30.4),SUBSIDIO,2))/30.4*F31,2),0),0)))</f>
        <v>0</v>
      </c>
      <c r="K31" s="143">
        <f>J31</f>
        <v>0</v>
      </c>
      <c r="L31" s="95">
        <f>H31+I31-K31</f>
        <v>3431</v>
      </c>
      <c r="M31" s="110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</row>
    <row r="32" spans="1:96" ht="30" customHeight="1" x14ac:dyDescent="0.2">
      <c r="B32" s="106"/>
      <c r="C32" s="204"/>
      <c r="D32" s="71"/>
      <c r="E32" s="65" t="s">
        <v>33</v>
      </c>
      <c r="F32" s="197"/>
      <c r="G32" s="64"/>
      <c r="H32" s="97">
        <f>SUM(H30:H31)</f>
        <v>9153</v>
      </c>
      <c r="I32" s="142">
        <f>SUM(I30:I31)</f>
        <v>0</v>
      </c>
      <c r="J32" s="97">
        <f>SUM(J30:J31)</f>
        <v>477.93</v>
      </c>
      <c r="K32" s="97">
        <f>SUM(K30:K31)</f>
        <v>477.93</v>
      </c>
      <c r="L32" s="97">
        <f>SUM(L30:L31)</f>
        <v>8675.07</v>
      </c>
      <c r="M32" s="109"/>
    </row>
    <row r="33" spans="1:96" ht="30" customHeight="1" x14ac:dyDescent="0.2">
      <c r="B33" s="384" t="s">
        <v>39</v>
      </c>
      <c r="C33" s="385"/>
      <c r="D33" s="385"/>
      <c r="E33" s="385"/>
      <c r="F33" s="385"/>
      <c r="G33" s="385"/>
      <c r="H33" s="385"/>
      <c r="I33" s="385"/>
      <c r="J33" s="385"/>
      <c r="K33" s="385"/>
      <c r="L33" s="385"/>
      <c r="M33" s="386"/>
    </row>
    <row r="34" spans="1:96" s="76" customFormat="1" ht="30" customHeight="1" x14ac:dyDescent="0.2">
      <c r="A34" s="5"/>
      <c r="B34" s="106">
        <v>16</v>
      </c>
      <c r="C34" s="204" t="s">
        <v>340</v>
      </c>
      <c r="D34" s="98" t="s">
        <v>267</v>
      </c>
      <c r="E34" s="92" t="s">
        <v>268</v>
      </c>
      <c r="F34" s="63">
        <v>15</v>
      </c>
      <c r="G34" s="95">
        <v>315.13299999999998</v>
      </c>
      <c r="H34" s="94">
        <f t="shared" ref="H34:H36" si="6">ROUND(F34*G34,2)</f>
        <v>4727</v>
      </c>
      <c r="I34" s="147">
        <v>0</v>
      </c>
      <c r="J34" s="147">
        <f>IF(G34&lt;=248.93,0,(IFERROR(IF(ROUND((((H34/F34*30.4)-VLOOKUP((H34/F34*30.4),TARIFA,1))*VLOOKUP((H34/F34*30.4),TARIFA,3)+VLOOKUP((H34/F34*30.4),TARIFA,2)-VLOOKUP((H34/F34*30.4),SUBSIDIO,2))/30.4*F34,2)&gt;0,ROUND((((H34/F34*30.4)-VLOOKUP((H34/F34*30.4),TARIFA,1))*VLOOKUP((H34/F34*30.4),TARIFA,3)+VLOOKUP((H34/F34*30.4),TARIFA,2)-VLOOKUP((H34/F34*30.4),SUBSIDIO,2))/30.4*F34,2),0),0)))</f>
        <v>357.83</v>
      </c>
      <c r="K34" s="95">
        <f>J34</f>
        <v>357.83</v>
      </c>
      <c r="L34" s="95">
        <f>H34+I34-K34</f>
        <v>4369.17</v>
      </c>
      <c r="M34" s="110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</row>
    <row r="35" spans="1:96" ht="30" customHeight="1" x14ac:dyDescent="0.2">
      <c r="B35" s="106">
        <v>17</v>
      </c>
      <c r="C35" s="204" t="s">
        <v>340</v>
      </c>
      <c r="D35" s="98" t="s">
        <v>175</v>
      </c>
      <c r="E35" s="92" t="s">
        <v>41</v>
      </c>
      <c r="F35" s="63">
        <v>15</v>
      </c>
      <c r="G35" s="95">
        <v>174.02600000000001</v>
      </c>
      <c r="H35" s="94">
        <f t="shared" si="6"/>
        <v>2610.39</v>
      </c>
      <c r="I35" s="141">
        <v>0</v>
      </c>
      <c r="J35" s="143">
        <f>IF(G35&lt;=248.93,0,(IFERROR(IF(ROUND((((H35/F35*30.4)-VLOOKUP((H35/F35*30.4),TARIFA,1))*VLOOKUP((H35/F35*30.4),TARIFA,3)+VLOOKUP((H35/F35*30.4),TARIFA,2)-VLOOKUP((H35/F35*30.4),SUBSIDIO,2))/30.4*F35,2)&gt;0,ROUND((((H35/F35*30.4)-VLOOKUP((H35/F35*30.4),TARIFA,1))*VLOOKUP((H35/F35*30.4),TARIFA,3)+VLOOKUP((H35/F35*30.4),TARIFA,2)-VLOOKUP((H35/F35*30.4),SUBSIDIO,2))/30.4*F35,2),0),0)))</f>
        <v>0</v>
      </c>
      <c r="K35" s="143">
        <f>J35</f>
        <v>0</v>
      </c>
      <c r="L35" s="95">
        <f>H35+I35-K35</f>
        <v>2610.39</v>
      </c>
      <c r="M35" s="110"/>
    </row>
    <row r="36" spans="1:96" s="77" customFormat="1" ht="30" customHeight="1" x14ac:dyDescent="0.2">
      <c r="A36" s="28"/>
      <c r="B36" s="106">
        <v>18</v>
      </c>
      <c r="C36" s="204" t="s">
        <v>340</v>
      </c>
      <c r="D36" s="98" t="s">
        <v>176</v>
      </c>
      <c r="E36" s="92" t="s">
        <v>107</v>
      </c>
      <c r="F36" s="63">
        <v>15</v>
      </c>
      <c r="G36" s="95">
        <v>274.875</v>
      </c>
      <c r="H36" s="94">
        <f t="shared" si="6"/>
        <v>4123.13</v>
      </c>
      <c r="I36" s="147">
        <v>0</v>
      </c>
      <c r="J36" s="147">
        <f>IF(G36&lt;=248.93,0,(IFERROR(IF(ROUND((((H36/F36*30.4)-VLOOKUP((H36/F36*30.4),TARIFA,1))*VLOOKUP((H36/F36*30.4),TARIFA,3)+VLOOKUP((H36/F36*30.4),TARIFA,2)-VLOOKUP((H36/F36*30.4),SUBSIDIO,2))/30.4*F36,2)&gt;0,ROUND((((H36/F36*30.4)-VLOOKUP((H36/F36*30.4),TARIFA,1))*VLOOKUP((H36/F36*30.4),TARIFA,3)+VLOOKUP((H36/F36*30.4),TARIFA,2)-VLOOKUP((H36/F36*30.4),SUBSIDIO,2))/30.4*F36,2),0),0)))</f>
        <v>99.7</v>
      </c>
      <c r="K36" s="95">
        <f>J36</f>
        <v>99.7</v>
      </c>
      <c r="L36" s="95">
        <f>H36+I36-K36</f>
        <v>4023.4300000000003</v>
      </c>
      <c r="M36" s="110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</row>
    <row r="37" spans="1:96" ht="30" customHeight="1" x14ac:dyDescent="0.2">
      <c r="B37" s="106"/>
      <c r="C37" s="204"/>
      <c r="D37" s="71"/>
      <c r="E37" s="65" t="s">
        <v>33</v>
      </c>
      <c r="F37" s="197"/>
      <c r="G37" s="207"/>
      <c r="H37" s="97">
        <f>SUM(H34:H36)</f>
        <v>11460.52</v>
      </c>
      <c r="I37" s="142">
        <f>SUM(I34:I36)</f>
        <v>0</v>
      </c>
      <c r="J37" s="97">
        <f>SUM(J34:J36)</f>
        <v>457.53</v>
      </c>
      <c r="K37" s="97">
        <f>SUM(K34:K36)</f>
        <v>457.53</v>
      </c>
      <c r="L37" s="97">
        <f>SUM(L34:L36)</f>
        <v>11002.99</v>
      </c>
      <c r="M37" s="109"/>
    </row>
    <row r="38" spans="1:96" ht="30" customHeight="1" x14ac:dyDescent="0.2">
      <c r="B38" s="381" t="s">
        <v>76</v>
      </c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3"/>
    </row>
    <row r="39" spans="1:96" ht="30" customHeight="1" x14ac:dyDescent="0.2">
      <c r="B39" s="106">
        <v>19</v>
      </c>
      <c r="C39" s="204"/>
      <c r="D39" s="98" t="s">
        <v>177</v>
      </c>
      <c r="E39" s="92" t="s">
        <v>448</v>
      </c>
      <c r="F39" s="63">
        <v>15</v>
      </c>
      <c r="G39" s="95">
        <v>315.13299999999998</v>
      </c>
      <c r="H39" s="94">
        <f t="shared" ref="H39" si="7">ROUND(F39*G39,2)</f>
        <v>4727</v>
      </c>
      <c r="I39" s="147">
        <v>0</v>
      </c>
      <c r="J39" s="147">
        <f>IF(G39&lt;=248.93,0,(IFERROR(IF(ROUND((((H39/F39*30.4)-VLOOKUP((H39/F39*30.4),TARIFA,1))*VLOOKUP((H39/F39*30.4),TARIFA,3)+VLOOKUP((H39/F39*30.4),TARIFA,2)-VLOOKUP((H39/F39*30.4),SUBSIDIO,2))/30.4*F39,2)&gt;0,ROUND((((H39/F39*30.4)-VLOOKUP((H39/F39*30.4),TARIFA,1))*VLOOKUP((H39/F39*30.4),TARIFA,3)+VLOOKUP((H39/F39*30.4),TARIFA,2)-VLOOKUP((H39/F39*30.4),SUBSIDIO,2))/30.4*F39,2),0),0)))</f>
        <v>357.83</v>
      </c>
      <c r="K39" s="143">
        <f>J39</f>
        <v>357.83</v>
      </c>
      <c r="L39" s="95">
        <f>H39+I39-K39</f>
        <v>4369.17</v>
      </c>
      <c r="M39" s="110"/>
    </row>
    <row r="40" spans="1:96" ht="30" customHeight="1" x14ac:dyDescent="0.2">
      <c r="B40" s="106"/>
      <c r="C40" s="204"/>
      <c r="D40" s="71"/>
      <c r="E40" s="65" t="s">
        <v>33</v>
      </c>
      <c r="F40" s="197"/>
      <c r="G40" s="207"/>
      <c r="H40" s="97">
        <f>SUM(H39:H39)</f>
        <v>4727</v>
      </c>
      <c r="I40" s="142">
        <f>SUM(I39:I39)</f>
        <v>0</v>
      </c>
      <c r="J40" s="97">
        <f>SUM(J39:J39)</f>
        <v>357.83</v>
      </c>
      <c r="K40" s="97">
        <f>SUM(K39:K39)</f>
        <v>357.83</v>
      </c>
      <c r="L40" s="97">
        <f>SUM(L39:L39)</f>
        <v>4369.17</v>
      </c>
      <c r="M40" s="109"/>
    </row>
    <row r="41" spans="1:96" ht="30" customHeight="1" x14ac:dyDescent="0.2">
      <c r="B41" s="387" t="s">
        <v>43</v>
      </c>
      <c r="C41" s="388"/>
      <c r="D41" s="389"/>
      <c r="E41" s="389"/>
      <c r="F41" s="389"/>
      <c r="G41" s="389"/>
      <c r="H41" s="389"/>
      <c r="I41" s="389"/>
      <c r="J41" s="389"/>
      <c r="K41" s="389"/>
      <c r="L41" s="389"/>
      <c r="M41" s="390"/>
    </row>
    <row r="42" spans="1:96" s="5" customFormat="1" ht="30" customHeight="1" x14ac:dyDescent="0.2">
      <c r="B42" s="106">
        <v>20</v>
      </c>
      <c r="C42" s="204"/>
      <c r="D42" s="98" t="s">
        <v>178</v>
      </c>
      <c r="E42" s="92" t="s">
        <v>35</v>
      </c>
      <c r="F42" s="63">
        <v>15</v>
      </c>
      <c r="G42" s="95">
        <v>315.13299999999998</v>
      </c>
      <c r="H42" s="94">
        <f t="shared" ref="H42:H43" si="8">ROUND(F42*G42,2)</f>
        <v>4727</v>
      </c>
      <c r="I42" s="149">
        <v>0</v>
      </c>
      <c r="J42" s="147">
        <f>IF(G42&lt;=248.93,0,(IFERROR(IF(ROUND((((H42/F42*30.4)-VLOOKUP((H42/F42*30.4),TARIFA,1))*VLOOKUP((H42/F42*30.4),TARIFA,3)+VLOOKUP((H42/F42*30.4),TARIFA,2)-VLOOKUP((H42/F42*30.4),SUBSIDIO,2))/30.4*F42,2)&gt;0,ROUND((((H42/F42*30.4)-VLOOKUP((H42/F42*30.4),TARIFA,1))*VLOOKUP((H42/F42*30.4),TARIFA,3)+VLOOKUP((H42/F42*30.4),TARIFA,2)-VLOOKUP((H42/F42*30.4),SUBSIDIO,2))/30.4*F42,2),0),0)))</f>
        <v>357.83</v>
      </c>
      <c r="K42" s="95">
        <f>J42</f>
        <v>357.83</v>
      </c>
      <c r="L42" s="95">
        <f>H42+I42-K42</f>
        <v>4369.17</v>
      </c>
      <c r="M42" s="110"/>
    </row>
    <row r="43" spans="1:96" s="77" customFormat="1" ht="30" customHeight="1" x14ac:dyDescent="0.2">
      <c r="A43" s="28"/>
      <c r="B43" s="106">
        <v>21</v>
      </c>
      <c r="C43" s="204" t="s">
        <v>340</v>
      </c>
      <c r="D43" s="98" t="s">
        <v>179</v>
      </c>
      <c r="E43" s="92" t="s">
        <v>42</v>
      </c>
      <c r="F43" s="63">
        <v>15</v>
      </c>
      <c r="G43" s="95">
        <v>231.66650000000001</v>
      </c>
      <c r="H43" s="94">
        <f t="shared" si="8"/>
        <v>3475</v>
      </c>
      <c r="I43" s="141">
        <v>0</v>
      </c>
      <c r="J43" s="143">
        <f>IF(G43&lt;=248.93,0,(IFERROR(IF(ROUND((((H43/F43*30.4)-VLOOKUP((H43/F43*30.4),TARIFA,1))*VLOOKUP((H43/F43*30.4),TARIFA,3)+VLOOKUP((H43/F43*30.4),TARIFA,2)-VLOOKUP((H43/F43*30.4),SUBSIDIO,2))/30.4*F43,2)&gt;0,ROUND((((H43/F43*30.4)-VLOOKUP((H43/F43*30.4),TARIFA,1))*VLOOKUP((H43/F43*30.4),TARIFA,3)+VLOOKUP((H43/F43*30.4),TARIFA,2)-VLOOKUP((H43/F43*30.4),SUBSIDIO,2))/30.4*F43,2),0),0)))</f>
        <v>0</v>
      </c>
      <c r="K43" s="143">
        <f>J43</f>
        <v>0</v>
      </c>
      <c r="L43" s="95">
        <f>H43+I43-K43</f>
        <v>3475</v>
      </c>
      <c r="M43" s="110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</row>
    <row r="44" spans="1:96" ht="30" customHeight="1" x14ac:dyDescent="0.2">
      <c r="B44" s="106"/>
      <c r="C44" s="204"/>
      <c r="D44" s="71"/>
      <c r="E44" s="65" t="s">
        <v>33</v>
      </c>
      <c r="F44" s="197"/>
      <c r="G44" s="207"/>
      <c r="H44" s="97">
        <f>SUM(H42:H43)</f>
        <v>8202</v>
      </c>
      <c r="I44" s="142">
        <f>SUM(I42:I43)</f>
        <v>0</v>
      </c>
      <c r="J44" s="97">
        <f>SUM(J42:J43)</f>
        <v>357.83</v>
      </c>
      <c r="K44" s="97">
        <f>SUM(K42:K43)</f>
        <v>357.83</v>
      </c>
      <c r="L44" s="97">
        <f>SUM(L42:L43)</f>
        <v>7844.17</v>
      </c>
      <c r="M44" s="109"/>
    </row>
    <row r="45" spans="1:96" ht="30" customHeight="1" x14ac:dyDescent="0.2">
      <c r="B45" s="381" t="s">
        <v>44</v>
      </c>
      <c r="C45" s="382"/>
      <c r="D45" s="382"/>
      <c r="E45" s="382"/>
      <c r="F45" s="382"/>
      <c r="G45" s="382"/>
      <c r="H45" s="382"/>
      <c r="I45" s="382"/>
      <c r="J45" s="382"/>
      <c r="K45" s="382"/>
      <c r="L45" s="382"/>
      <c r="M45" s="383"/>
    </row>
    <row r="46" spans="1:96" s="77" customFormat="1" ht="30" customHeight="1" x14ac:dyDescent="0.2">
      <c r="A46" s="28"/>
      <c r="B46" s="106">
        <v>22</v>
      </c>
      <c r="C46" s="204" t="s">
        <v>340</v>
      </c>
      <c r="D46" s="98" t="s">
        <v>180</v>
      </c>
      <c r="E46" s="92" t="s">
        <v>35</v>
      </c>
      <c r="F46" s="63">
        <v>15</v>
      </c>
      <c r="G46" s="95">
        <v>315.13299999999998</v>
      </c>
      <c r="H46" s="94">
        <f t="shared" ref="H46:H47" si="9">ROUND(F46*G46,2)</f>
        <v>4727</v>
      </c>
      <c r="I46" s="147">
        <v>0</v>
      </c>
      <c r="J46" s="147">
        <f>IF(G46&lt;=248.93,0,(IFERROR(IF(ROUND((((H46/F46*30.4)-VLOOKUP((H46/F46*30.4),TARIFA,1))*VLOOKUP((H46/F46*30.4),TARIFA,3)+VLOOKUP((H46/F46*30.4),TARIFA,2)-VLOOKUP((H46/F46*30.4),SUBSIDIO,2))/30.4*F46,2)&gt;0,ROUND((((H46/F46*30.4)-VLOOKUP((H46/F46*30.4),TARIFA,1))*VLOOKUP((H46/F46*30.4),TARIFA,3)+VLOOKUP((H46/F46*30.4),TARIFA,2)-VLOOKUP((H46/F46*30.4),SUBSIDIO,2))/30.4*F46,2),0),0)))</f>
        <v>357.83</v>
      </c>
      <c r="K46" s="95">
        <f>J46</f>
        <v>357.83</v>
      </c>
      <c r="L46" s="95">
        <f>H46+I46-K46</f>
        <v>4369.17</v>
      </c>
      <c r="M46" s="110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</row>
    <row r="47" spans="1:96" ht="30" customHeight="1" x14ac:dyDescent="0.2">
      <c r="B47" s="106">
        <v>23</v>
      </c>
      <c r="C47" s="204" t="s">
        <v>340</v>
      </c>
      <c r="D47" s="98" t="s">
        <v>181</v>
      </c>
      <c r="E47" s="92" t="s">
        <v>112</v>
      </c>
      <c r="F47" s="63">
        <v>15</v>
      </c>
      <c r="G47" s="95">
        <v>140.602</v>
      </c>
      <c r="H47" s="94">
        <f t="shared" si="9"/>
        <v>2109.0300000000002</v>
      </c>
      <c r="I47" s="147">
        <v>0</v>
      </c>
      <c r="J47" s="147">
        <f>IF(G47&lt;=248.93,0,(IFERROR(IF(ROUND((((H47/F47*30.4)-VLOOKUP((H47/F47*30.4),TARIFA,1))*VLOOKUP((H47/F47*30.4),TARIFA,3)+VLOOKUP((H47/F47*30.4),TARIFA,2)-VLOOKUP((H47/F47*30.4),SUBSIDIO,2))/30.4*F47,2)&gt;0,ROUND((((H47/F47*30.4)-VLOOKUP((H47/F47*30.4),TARIFA,1))*VLOOKUP((H47/F47*30.4),TARIFA,3)+VLOOKUP((H47/F47*30.4),TARIFA,2)-VLOOKUP((H47/F47*30.4),SUBSIDIO,2))/30.4*F47,2),0),0)))</f>
        <v>0</v>
      </c>
      <c r="K47" s="143">
        <v>0</v>
      </c>
      <c r="L47" s="95">
        <f>H47+I47-K47</f>
        <v>2109.0300000000002</v>
      </c>
      <c r="M47" s="110"/>
    </row>
    <row r="48" spans="1:96" ht="30" customHeight="1" x14ac:dyDescent="0.2">
      <c r="B48" s="106"/>
      <c r="C48" s="204"/>
      <c r="D48" s="71"/>
      <c r="E48" s="65" t="s">
        <v>33</v>
      </c>
      <c r="F48" s="197"/>
      <c r="G48" s="207"/>
      <c r="H48" s="97">
        <f>SUM(H46:H47)</f>
        <v>6836.0300000000007</v>
      </c>
      <c r="I48" s="142">
        <f>SUM(I46:I47)</f>
        <v>0</v>
      </c>
      <c r="J48" s="97">
        <f>SUM(J46:J47)</f>
        <v>357.83</v>
      </c>
      <c r="K48" s="97">
        <f>SUM(K46:K47)</f>
        <v>357.83</v>
      </c>
      <c r="L48" s="97">
        <f>SUM(L46:L47)</f>
        <v>6478.2000000000007</v>
      </c>
      <c r="M48" s="109"/>
    </row>
    <row r="49" spans="1:96" s="5" customFormat="1" ht="30" customHeight="1" x14ac:dyDescent="0.2">
      <c r="B49" s="381" t="s">
        <v>79</v>
      </c>
      <c r="C49" s="382"/>
      <c r="D49" s="382"/>
      <c r="E49" s="382"/>
      <c r="F49" s="382"/>
      <c r="G49" s="382"/>
      <c r="H49" s="382"/>
      <c r="I49" s="382"/>
      <c r="J49" s="382"/>
      <c r="K49" s="382"/>
      <c r="L49" s="382"/>
      <c r="M49" s="383"/>
    </row>
    <row r="50" spans="1:96" s="5" customFormat="1" ht="30" customHeight="1" x14ac:dyDescent="0.2">
      <c r="B50" s="106">
        <v>24</v>
      </c>
      <c r="C50" s="204"/>
      <c r="D50" s="98" t="s">
        <v>182</v>
      </c>
      <c r="E50" s="92" t="s">
        <v>35</v>
      </c>
      <c r="F50" s="63">
        <v>15</v>
      </c>
      <c r="G50" s="95">
        <v>315.13299999999998</v>
      </c>
      <c r="H50" s="94">
        <f t="shared" ref="H50" si="10">ROUND(F50*G50,2)</f>
        <v>4727</v>
      </c>
      <c r="I50" s="147">
        <v>0</v>
      </c>
      <c r="J50" s="147">
        <f>IF(G50&lt;=248.93,0,(IFERROR(IF(ROUND((((H50/F50*30.4)-VLOOKUP((H50/F50*30.4),TARIFA,1))*VLOOKUP((H50/F50*30.4),TARIFA,3)+VLOOKUP((H50/F50*30.4),TARIFA,2)-VLOOKUP((H50/F50*30.4),SUBSIDIO,2))/30.4*F50,2)&gt;0,ROUND((((H50/F50*30.4)-VLOOKUP((H50/F50*30.4),TARIFA,1))*VLOOKUP((H50/F50*30.4),TARIFA,3)+VLOOKUP((H50/F50*30.4),TARIFA,2)-VLOOKUP((H50/F50*30.4),SUBSIDIO,2))/30.4*F50,2),0),0)))</f>
        <v>357.83</v>
      </c>
      <c r="K50" s="95">
        <f>J50</f>
        <v>357.83</v>
      </c>
      <c r="L50" s="95">
        <f>H50+I50-K50</f>
        <v>4369.17</v>
      </c>
      <c r="M50" s="110"/>
    </row>
    <row r="51" spans="1:96" s="5" customFormat="1" ht="30" customHeight="1" x14ac:dyDescent="0.2">
      <c r="B51" s="106"/>
      <c r="C51" s="204"/>
      <c r="D51" s="71"/>
      <c r="E51" s="65" t="s">
        <v>33</v>
      </c>
      <c r="F51" s="197"/>
      <c r="G51" s="207"/>
      <c r="H51" s="97">
        <f>SUM(H50:H50)</f>
        <v>4727</v>
      </c>
      <c r="I51" s="142">
        <f>SUM(I50:I50)</f>
        <v>0</v>
      </c>
      <c r="J51" s="97">
        <f>SUM(J50:J50)</f>
        <v>357.83</v>
      </c>
      <c r="K51" s="97">
        <f>SUM(K50:K50)</f>
        <v>357.83</v>
      </c>
      <c r="L51" s="97">
        <f>SUM(L50:L50)</f>
        <v>4369.17</v>
      </c>
      <c r="M51" s="109"/>
    </row>
    <row r="52" spans="1:96" s="5" customFormat="1" ht="30" customHeight="1" x14ac:dyDescent="0.2">
      <c r="B52" s="387" t="s">
        <v>45</v>
      </c>
      <c r="C52" s="388"/>
      <c r="D52" s="389"/>
      <c r="E52" s="389"/>
      <c r="F52" s="389"/>
      <c r="G52" s="389"/>
      <c r="H52" s="389"/>
      <c r="I52" s="389"/>
      <c r="J52" s="389"/>
      <c r="K52" s="389"/>
      <c r="L52" s="389"/>
      <c r="M52" s="390"/>
    </row>
    <row r="53" spans="1:96" s="76" customFormat="1" ht="30" customHeight="1" x14ac:dyDescent="0.2">
      <c r="A53" s="5"/>
      <c r="B53" s="106">
        <v>25</v>
      </c>
      <c r="C53" s="204" t="s">
        <v>340</v>
      </c>
      <c r="D53" s="98" t="s">
        <v>183</v>
      </c>
      <c r="E53" s="92" t="s">
        <v>82</v>
      </c>
      <c r="F53" s="63">
        <v>15</v>
      </c>
      <c r="G53" s="95">
        <v>168.34800000000001</v>
      </c>
      <c r="H53" s="94">
        <f>ROUND(F53*G53,2)</f>
        <v>2525.2199999999998</v>
      </c>
      <c r="I53" s="141">
        <v>0</v>
      </c>
      <c r="J53" s="143">
        <f>IF(G53&lt;=248.93,0,(IFERROR(IF(ROUND((((H53/F53*30.4)-VLOOKUP((H53/F53*30.4),TARIFA,1))*VLOOKUP((H53/F53*30.4),TARIFA,3)+VLOOKUP((H53/F53*30.4),TARIFA,2)-VLOOKUP((H53/F53*30.4),SUBSIDIO,2))/30.4*F53,2)&gt;0,ROUND((((H53/F53*30.4)-VLOOKUP((H53/F53*30.4),TARIFA,1))*VLOOKUP((H53/F53*30.4),TARIFA,3)+VLOOKUP((H53/F53*30.4),TARIFA,2)-VLOOKUP((H53/F53*30.4),SUBSIDIO,2))/30.4*F53,2),0),0)))</f>
        <v>0</v>
      </c>
      <c r="K53" s="143">
        <f>J53</f>
        <v>0</v>
      </c>
      <c r="L53" s="95">
        <f>H53+I53-K53</f>
        <v>2525.2199999999998</v>
      </c>
      <c r="M53" s="110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</row>
    <row r="54" spans="1:96" s="76" customFormat="1" ht="30" customHeight="1" x14ac:dyDescent="0.2">
      <c r="A54" s="5"/>
      <c r="B54" s="106">
        <v>26</v>
      </c>
      <c r="C54" s="204" t="s">
        <v>340</v>
      </c>
      <c r="D54" s="98" t="s">
        <v>470</v>
      </c>
      <c r="E54" s="92" t="s">
        <v>471</v>
      </c>
      <c r="F54" s="63">
        <v>15</v>
      </c>
      <c r="G54" s="95">
        <v>114.315</v>
      </c>
      <c r="H54" s="94">
        <f t="shared" ref="H54" si="11">ROUND(F54*G54,2)</f>
        <v>1714.73</v>
      </c>
      <c r="I54" s="141">
        <v>0</v>
      </c>
      <c r="J54" s="143">
        <f>IF(G54&lt;=248.93,0,(IFERROR(IF(ROUND((((H54/F54*30.4)-VLOOKUP((H54/F54*30.4),TARIFA,1))*VLOOKUP((H54/F54*30.4),TARIFA,3)+VLOOKUP((H54/F54*30.4),TARIFA,2)-VLOOKUP((H54/F54*30.4),SUBSIDIO,2))/30.4*F54,2)&gt;0,ROUND((((H54/F54*30.4)-VLOOKUP((H54/F54*30.4),TARIFA,1))*VLOOKUP((H54/F54*30.4),TARIFA,3)+VLOOKUP((H54/F54*30.4),TARIFA,2)-VLOOKUP((H54/F54*30.4),SUBSIDIO,2))/30.4*F54,2),0),0)))</f>
        <v>0</v>
      </c>
      <c r="K54" s="143">
        <f>J54</f>
        <v>0</v>
      </c>
      <c r="L54" s="95">
        <f>H54+I54-K54</f>
        <v>1714.73</v>
      </c>
      <c r="M54" s="110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</row>
    <row r="55" spans="1:96" s="5" customFormat="1" ht="30" customHeight="1" x14ac:dyDescent="0.2">
      <c r="B55" s="106"/>
      <c r="C55" s="204"/>
      <c r="D55" s="71"/>
      <c r="E55" s="65" t="s">
        <v>33</v>
      </c>
      <c r="F55" s="63"/>
      <c r="G55" s="207"/>
      <c r="H55" s="97">
        <f>SUM(H53:H54)</f>
        <v>4239.95</v>
      </c>
      <c r="I55" s="142">
        <f t="shared" ref="I55:L55" si="12">SUM(I53:I54)</f>
        <v>0</v>
      </c>
      <c r="J55" s="142">
        <f t="shared" si="12"/>
        <v>0</v>
      </c>
      <c r="K55" s="142">
        <f t="shared" si="12"/>
        <v>0</v>
      </c>
      <c r="L55" s="97">
        <f t="shared" si="12"/>
        <v>4239.95</v>
      </c>
      <c r="M55" s="109"/>
    </row>
    <row r="56" spans="1:96" ht="30" customHeight="1" x14ac:dyDescent="0.2">
      <c r="B56" s="381" t="s">
        <v>46</v>
      </c>
      <c r="C56" s="382"/>
      <c r="D56" s="382"/>
      <c r="E56" s="382"/>
      <c r="F56" s="382"/>
      <c r="G56" s="382"/>
      <c r="H56" s="382"/>
      <c r="I56" s="382"/>
      <c r="J56" s="382"/>
      <c r="K56" s="382"/>
      <c r="L56" s="382"/>
      <c r="M56" s="383"/>
    </row>
    <row r="57" spans="1:96" s="5" customFormat="1" ht="30" customHeight="1" x14ac:dyDescent="0.2">
      <c r="B57" s="106">
        <v>27</v>
      </c>
      <c r="C57" s="204"/>
      <c r="D57" s="96" t="s">
        <v>249</v>
      </c>
      <c r="E57" s="92" t="s">
        <v>111</v>
      </c>
      <c r="F57" s="63">
        <v>15</v>
      </c>
      <c r="G57" s="95">
        <v>466.33300000000003</v>
      </c>
      <c r="H57" s="94">
        <f t="shared" ref="H57:H62" si="13">ROUND(F57*G57,2)</f>
        <v>6995</v>
      </c>
      <c r="I57" s="147">
        <v>0</v>
      </c>
      <c r="J57" s="147">
        <f t="shared" ref="J57:J62" si="14">IF(G57&lt;=248.93,0,(IFERROR(IF(ROUND((((H57/F57*30.4)-VLOOKUP((H57/F57*30.4),TARIFA,1))*VLOOKUP((H57/F57*30.4),TARIFA,3)+VLOOKUP((H57/F57*30.4),TARIFA,2)-VLOOKUP((H57/F57*30.4),SUBSIDIO,2))/30.4*F57,2)&gt;0,ROUND((((H57/F57*30.4)-VLOOKUP((H57/F57*30.4),TARIFA,1))*VLOOKUP((H57/F57*30.4),TARIFA,3)+VLOOKUP((H57/F57*30.4),TARIFA,2)-VLOOKUP((H57/F57*30.4),SUBSIDIO,2))/30.4*F57,2),0),0)))</f>
        <v>693.36</v>
      </c>
      <c r="K57" s="95">
        <f t="shared" ref="K57:K62" si="15">J57</f>
        <v>693.36</v>
      </c>
      <c r="L57" s="95">
        <f t="shared" ref="L57:L62" si="16">H57+I57-K57</f>
        <v>6301.64</v>
      </c>
      <c r="M57" s="110"/>
    </row>
    <row r="58" spans="1:96" ht="30" customHeight="1" x14ac:dyDescent="0.2">
      <c r="B58" s="106">
        <v>28</v>
      </c>
      <c r="C58" s="204" t="s">
        <v>340</v>
      </c>
      <c r="D58" s="98" t="s">
        <v>250</v>
      </c>
      <c r="E58" s="92" t="s">
        <v>42</v>
      </c>
      <c r="F58" s="63">
        <v>15</v>
      </c>
      <c r="G58" s="95">
        <v>262</v>
      </c>
      <c r="H58" s="94">
        <f t="shared" si="13"/>
        <v>3930</v>
      </c>
      <c r="I58" s="147">
        <v>0</v>
      </c>
      <c r="J58" s="147">
        <f t="shared" si="14"/>
        <v>78.69</v>
      </c>
      <c r="K58" s="95">
        <f t="shared" si="15"/>
        <v>78.69</v>
      </c>
      <c r="L58" s="95">
        <f t="shared" si="16"/>
        <v>3851.31</v>
      </c>
      <c r="M58" s="110"/>
    </row>
    <row r="59" spans="1:96" ht="30" customHeight="1" x14ac:dyDescent="0.2">
      <c r="B59" s="106">
        <v>29</v>
      </c>
      <c r="C59" s="204" t="s">
        <v>340</v>
      </c>
      <c r="D59" s="98" t="s">
        <v>251</v>
      </c>
      <c r="E59" s="92" t="s">
        <v>47</v>
      </c>
      <c r="F59" s="63">
        <v>15</v>
      </c>
      <c r="G59" s="95">
        <v>230.53299999999999</v>
      </c>
      <c r="H59" s="94">
        <f t="shared" si="13"/>
        <v>3458</v>
      </c>
      <c r="I59" s="147">
        <v>0</v>
      </c>
      <c r="J59" s="147">
        <f t="shared" si="14"/>
        <v>0</v>
      </c>
      <c r="K59" s="143">
        <f t="shared" si="15"/>
        <v>0</v>
      </c>
      <c r="L59" s="95">
        <f t="shared" si="16"/>
        <v>3458</v>
      </c>
      <c r="M59" s="110"/>
    </row>
    <row r="60" spans="1:96" ht="30" customHeight="1" x14ac:dyDescent="0.2">
      <c r="B60" s="106">
        <v>30</v>
      </c>
      <c r="C60" s="204" t="s">
        <v>340</v>
      </c>
      <c r="D60" s="98" t="s">
        <v>252</v>
      </c>
      <c r="E60" s="92" t="s">
        <v>48</v>
      </c>
      <c r="F60" s="63">
        <v>15</v>
      </c>
      <c r="G60" s="95">
        <v>264.33300000000003</v>
      </c>
      <c r="H60" s="94">
        <f t="shared" si="13"/>
        <v>3965</v>
      </c>
      <c r="I60" s="147">
        <v>0</v>
      </c>
      <c r="J60" s="147">
        <f t="shared" si="14"/>
        <v>82.49</v>
      </c>
      <c r="K60" s="95">
        <f t="shared" si="15"/>
        <v>82.49</v>
      </c>
      <c r="L60" s="95">
        <f t="shared" si="16"/>
        <v>3882.51</v>
      </c>
      <c r="M60" s="110"/>
    </row>
    <row r="61" spans="1:96" ht="30" customHeight="1" x14ac:dyDescent="0.2">
      <c r="B61" s="106">
        <v>31</v>
      </c>
      <c r="C61" s="204" t="s">
        <v>340</v>
      </c>
      <c r="D61" s="98" t="s">
        <v>253</v>
      </c>
      <c r="E61" s="92" t="s">
        <v>48</v>
      </c>
      <c r="F61" s="63">
        <v>15</v>
      </c>
      <c r="G61" s="95">
        <v>228.66650000000001</v>
      </c>
      <c r="H61" s="94">
        <f t="shared" si="13"/>
        <v>3430</v>
      </c>
      <c r="I61" s="147">
        <v>0</v>
      </c>
      <c r="J61" s="147">
        <f t="shared" si="14"/>
        <v>0</v>
      </c>
      <c r="K61" s="143">
        <f t="shared" si="15"/>
        <v>0</v>
      </c>
      <c r="L61" s="95">
        <f t="shared" si="16"/>
        <v>3430</v>
      </c>
      <c r="M61" s="110"/>
    </row>
    <row r="62" spans="1:96" ht="30" customHeight="1" x14ac:dyDescent="0.2">
      <c r="B62" s="106">
        <v>32</v>
      </c>
      <c r="C62" s="204" t="s">
        <v>340</v>
      </c>
      <c r="D62" s="98" t="s">
        <v>254</v>
      </c>
      <c r="E62" s="92" t="s">
        <v>49</v>
      </c>
      <c r="F62" s="63">
        <v>15</v>
      </c>
      <c r="G62" s="95">
        <v>384.8</v>
      </c>
      <c r="H62" s="94">
        <f t="shared" si="13"/>
        <v>5772</v>
      </c>
      <c r="I62" s="147">
        <v>0</v>
      </c>
      <c r="J62" s="147">
        <f t="shared" si="14"/>
        <v>485.93</v>
      </c>
      <c r="K62" s="95">
        <f t="shared" si="15"/>
        <v>485.93</v>
      </c>
      <c r="L62" s="95">
        <f t="shared" si="16"/>
        <v>5286.07</v>
      </c>
      <c r="M62" s="110"/>
    </row>
    <row r="63" spans="1:96" ht="30" customHeight="1" x14ac:dyDescent="0.2">
      <c r="B63" s="106"/>
      <c r="C63" s="204"/>
      <c r="D63" s="71"/>
      <c r="E63" s="65" t="s">
        <v>33</v>
      </c>
      <c r="F63" s="197"/>
      <c r="G63" s="207"/>
      <c r="H63" s="97">
        <f>SUM(H57:H62)</f>
        <v>27550</v>
      </c>
      <c r="I63" s="142">
        <f>SUM(I57:I62)</f>
        <v>0</v>
      </c>
      <c r="J63" s="97">
        <f>SUM(J57:J62)</f>
        <v>1340.47</v>
      </c>
      <c r="K63" s="97">
        <f>SUM(K57:K62)</f>
        <v>1340.47</v>
      </c>
      <c r="L63" s="97">
        <f>SUM(L57:L62)</f>
        <v>26209.53</v>
      </c>
      <c r="M63" s="109"/>
    </row>
    <row r="64" spans="1:96" s="5" customFormat="1" ht="30" customHeight="1" x14ac:dyDescent="0.2">
      <c r="B64" s="387" t="s">
        <v>292</v>
      </c>
      <c r="C64" s="388"/>
      <c r="D64" s="389"/>
      <c r="E64" s="389"/>
      <c r="F64" s="389"/>
      <c r="G64" s="389"/>
      <c r="H64" s="389"/>
      <c r="I64" s="389"/>
      <c r="J64" s="389"/>
      <c r="K64" s="389"/>
      <c r="L64" s="389"/>
      <c r="M64" s="390"/>
    </row>
    <row r="65" spans="1:96" s="5" customFormat="1" ht="30" customHeight="1" x14ac:dyDescent="0.2">
      <c r="B65" s="106">
        <v>33</v>
      </c>
      <c r="C65" s="204"/>
      <c r="D65" s="98" t="s">
        <v>248</v>
      </c>
      <c r="E65" s="92" t="s">
        <v>35</v>
      </c>
      <c r="F65" s="63">
        <v>15</v>
      </c>
      <c r="G65" s="95">
        <v>315.13299999999998</v>
      </c>
      <c r="H65" s="94">
        <f>ROUND(F65*G65,2)</f>
        <v>4727</v>
      </c>
      <c r="I65" s="147">
        <v>0</v>
      </c>
      <c r="J65" s="147">
        <f>IF(G65&lt;=248.93,0,(IFERROR(IF(ROUND((((H65/F65*30.4)-VLOOKUP((H65/F65*30.4),TARIFA,1))*VLOOKUP((H65/F65*30.4),TARIFA,3)+VLOOKUP((H65/F65*30.4),TARIFA,2)-VLOOKUP((H65/F65*30.4),SUBSIDIO,2))/30.4*F65,2)&gt;0,ROUND((((H65/F65*30.4)-VLOOKUP((H65/F65*30.4),TARIFA,1))*VLOOKUP((H65/F65*30.4),TARIFA,3)+VLOOKUP((H65/F65*30.4),TARIFA,2)-VLOOKUP((H65/F65*30.4),SUBSIDIO,2))/30.4*F65,2),0),0)))</f>
        <v>357.83</v>
      </c>
      <c r="K65" s="95">
        <f>J65</f>
        <v>357.83</v>
      </c>
      <c r="L65" s="95">
        <f>H65+I65-K65</f>
        <v>4369.17</v>
      </c>
      <c r="M65" s="110"/>
    </row>
    <row r="66" spans="1:96" s="5" customFormat="1" ht="30" customHeight="1" x14ac:dyDescent="0.2">
      <c r="B66" s="106"/>
      <c r="C66" s="204"/>
      <c r="D66" s="71"/>
      <c r="E66" s="65" t="s">
        <v>33</v>
      </c>
      <c r="F66" s="197"/>
      <c r="G66" s="207"/>
      <c r="H66" s="97">
        <f>+H65</f>
        <v>4727</v>
      </c>
      <c r="I66" s="142">
        <f>+I65</f>
        <v>0</v>
      </c>
      <c r="J66" s="97">
        <f>+J65</f>
        <v>357.83</v>
      </c>
      <c r="K66" s="97">
        <f>+K65</f>
        <v>357.83</v>
      </c>
      <c r="L66" s="97">
        <f>+L65</f>
        <v>4369.17</v>
      </c>
      <c r="M66" s="109"/>
    </row>
    <row r="67" spans="1:96" ht="30" customHeight="1" x14ac:dyDescent="0.2">
      <c r="B67" s="381" t="s">
        <v>52</v>
      </c>
      <c r="C67" s="382"/>
      <c r="D67" s="382"/>
      <c r="E67" s="382"/>
      <c r="F67" s="382"/>
      <c r="G67" s="382"/>
      <c r="H67" s="382"/>
      <c r="I67" s="382"/>
      <c r="J67" s="382"/>
      <c r="K67" s="382"/>
      <c r="L67" s="382"/>
      <c r="M67" s="383"/>
    </row>
    <row r="68" spans="1:96" ht="30" customHeight="1" x14ac:dyDescent="0.2">
      <c r="B68" s="106">
        <v>34</v>
      </c>
      <c r="C68" s="204"/>
      <c r="D68" s="98" t="s">
        <v>247</v>
      </c>
      <c r="E68" s="92" t="s">
        <v>51</v>
      </c>
      <c r="F68" s="63">
        <v>15</v>
      </c>
      <c r="G68" s="95">
        <v>325.86649999999997</v>
      </c>
      <c r="H68" s="94">
        <f>ROUND(F68*G68,2)</f>
        <v>4888</v>
      </c>
      <c r="I68" s="147">
        <v>0</v>
      </c>
      <c r="J68" s="147">
        <f>IF(G68&lt;=248.93,0,(IFERROR(IF(ROUND((((H68/F68*30.4)-VLOOKUP((H68/F68*30.4),TARIFA,1))*VLOOKUP((H68/F68*30.4),TARIFA,3)+VLOOKUP((H68/F68*30.4),TARIFA,2)-VLOOKUP((H68/F68*30.4),SUBSIDIO,2))/30.4*F68,2)&gt;0,ROUND((((H68/F68*30.4)-VLOOKUP((H68/F68*30.4),TARIFA,1))*VLOOKUP((H68/F68*30.4),TARIFA,3)+VLOOKUP((H68/F68*30.4),TARIFA,2)-VLOOKUP((H68/F68*30.4),SUBSIDIO,2))/30.4*F68,2),0),0)))</f>
        <v>375.35</v>
      </c>
      <c r="K68" s="95">
        <f>J68</f>
        <v>375.35</v>
      </c>
      <c r="L68" s="95">
        <f>H68+I68-K68</f>
        <v>4512.6499999999996</v>
      </c>
      <c r="M68" s="110"/>
    </row>
    <row r="69" spans="1:96" ht="30" customHeight="1" x14ac:dyDescent="0.2">
      <c r="B69" s="106">
        <v>35</v>
      </c>
      <c r="C69" s="204" t="s">
        <v>340</v>
      </c>
      <c r="D69" s="98" t="s">
        <v>482</v>
      </c>
      <c r="E69" s="92" t="s">
        <v>100</v>
      </c>
      <c r="F69" s="63">
        <v>15</v>
      </c>
      <c r="G69" s="95">
        <v>174.02600000000001</v>
      </c>
      <c r="H69" s="94">
        <f>ROUND(F69*G69,2)</f>
        <v>2610.39</v>
      </c>
      <c r="I69" s="147">
        <v>0</v>
      </c>
      <c r="J69" s="147">
        <f>IF(G69&lt;=248.93,0,(IFERROR(IF(ROUND((((H69/F69*30.4)-VLOOKUP((H69/F69*30.4),TARIFA,1))*VLOOKUP((H69/F69*30.4),TARIFA,3)+VLOOKUP((H69/F69*30.4),TARIFA,2)-VLOOKUP((H69/F69*30.4),SUBSIDIO,2))/30.4*F69,2)&gt;0,ROUND((((H69/F69*30.4)-VLOOKUP((H69/F69*30.4),TARIFA,1))*VLOOKUP((H69/F69*30.4),TARIFA,3)+VLOOKUP((H69/F69*30.4),TARIFA,2)-VLOOKUP((H69/F69*30.4),SUBSIDIO,2))/30.4*F69,2),0),0)))</f>
        <v>0</v>
      </c>
      <c r="K69" s="143">
        <f>J69</f>
        <v>0</v>
      </c>
      <c r="L69" s="95">
        <f>H69+I69-K69</f>
        <v>2610.39</v>
      </c>
      <c r="M69" s="110"/>
    </row>
    <row r="70" spans="1:96" ht="30" customHeight="1" x14ac:dyDescent="0.2">
      <c r="B70" s="106">
        <v>36</v>
      </c>
      <c r="C70" s="204" t="s">
        <v>340</v>
      </c>
      <c r="D70" s="98" t="s">
        <v>246</v>
      </c>
      <c r="E70" s="92" t="s">
        <v>110</v>
      </c>
      <c r="F70" s="63">
        <v>15</v>
      </c>
      <c r="G70" s="95">
        <v>148.34</v>
      </c>
      <c r="H70" s="94">
        <f>ROUND(F70*G70,2)</f>
        <v>2225.1</v>
      </c>
      <c r="I70" s="147">
        <v>0</v>
      </c>
      <c r="J70" s="147">
        <f>IF(G70&lt;=248.93,0,(IFERROR(IF(ROUND((((H70/F70*30.4)-VLOOKUP((H70/F70*30.4),TARIFA,1))*VLOOKUP((H70/F70*30.4),TARIFA,3)+VLOOKUP((H70/F70*30.4),TARIFA,2)-VLOOKUP((H70/F70*30.4),SUBSIDIO,2))/30.4*F70,2)&gt;0,ROUND((((H70/F70*30.4)-VLOOKUP((H70/F70*30.4),TARIFA,1))*VLOOKUP((H70/F70*30.4),TARIFA,3)+VLOOKUP((H70/F70*30.4),TARIFA,2)-VLOOKUP((H70/F70*30.4),SUBSIDIO,2))/30.4*F70,2),0),0)))</f>
        <v>0</v>
      </c>
      <c r="K70" s="143">
        <f>J70</f>
        <v>0</v>
      </c>
      <c r="L70" s="95">
        <f>H70+I70-K70</f>
        <v>2225.1</v>
      </c>
      <c r="M70" s="110"/>
    </row>
    <row r="71" spans="1:96" ht="30" customHeight="1" x14ac:dyDescent="0.2">
      <c r="B71" s="106"/>
      <c r="C71" s="204"/>
      <c r="D71" s="71"/>
      <c r="E71" s="65" t="s">
        <v>33</v>
      </c>
      <c r="F71" s="197"/>
      <c r="G71" s="207"/>
      <c r="H71" s="97">
        <f>SUM(H68:H70)</f>
        <v>9723.49</v>
      </c>
      <c r="I71" s="142">
        <f>SUM(I68:I70)</f>
        <v>0</v>
      </c>
      <c r="J71" s="97">
        <f>SUM(J68:J70)</f>
        <v>375.35</v>
      </c>
      <c r="K71" s="97">
        <f>SUM(K68:K70)</f>
        <v>375.35</v>
      </c>
      <c r="L71" s="97">
        <f>SUM(L68:L70)</f>
        <v>9348.14</v>
      </c>
      <c r="M71" s="109"/>
    </row>
    <row r="72" spans="1:96" ht="30" customHeight="1" x14ac:dyDescent="0.2">
      <c r="B72" s="381" t="s">
        <v>53</v>
      </c>
      <c r="C72" s="382"/>
      <c r="D72" s="382"/>
      <c r="E72" s="382"/>
      <c r="F72" s="382"/>
      <c r="G72" s="382"/>
      <c r="H72" s="382"/>
      <c r="I72" s="382"/>
      <c r="J72" s="382"/>
      <c r="K72" s="382"/>
      <c r="L72" s="382"/>
      <c r="M72" s="383"/>
    </row>
    <row r="73" spans="1:96" s="5" customFormat="1" ht="30" customHeight="1" x14ac:dyDescent="0.2">
      <c r="B73" s="106">
        <v>37</v>
      </c>
      <c r="C73" s="204"/>
      <c r="D73" s="98" t="s">
        <v>149</v>
      </c>
      <c r="E73" s="92" t="s">
        <v>51</v>
      </c>
      <c r="F73" s="63">
        <v>15</v>
      </c>
      <c r="G73" s="95">
        <v>325.8664</v>
      </c>
      <c r="H73" s="94">
        <f>ROUND(F73*G73,2)</f>
        <v>4888</v>
      </c>
      <c r="I73" s="147">
        <v>0</v>
      </c>
      <c r="J73" s="147">
        <f>IF(G73&lt;=248.93,0,(IFERROR(IF(ROUND((((H73/F73*30.4)-VLOOKUP((H73/F73*30.4),TARIFA,1))*VLOOKUP((H73/F73*30.4),TARIFA,3)+VLOOKUP((H73/F73*30.4),TARIFA,2)-VLOOKUP((H73/F73*30.4),SUBSIDIO,2))/30.4*F73,2)&gt;0,ROUND((((H73/F73*30.4)-VLOOKUP((H73/F73*30.4),TARIFA,1))*VLOOKUP((H73/F73*30.4),TARIFA,3)+VLOOKUP((H73/F73*30.4),TARIFA,2)-VLOOKUP((H73/F73*30.4),SUBSIDIO,2))/30.4*F73,2),0),0)))</f>
        <v>375.35</v>
      </c>
      <c r="K73" s="95">
        <f>J73</f>
        <v>375.35</v>
      </c>
      <c r="L73" s="95">
        <f>H73+I73-K73</f>
        <v>4512.6499999999996</v>
      </c>
      <c r="M73" s="110"/>
    </row>
    <row r="74" spans="1:96" s="77" customFormat="1" ht="30" customHeight="1" x14ac:dyDescent="0.2">
      <c r="A74" s="28"/>
      <c r="B74" s="106">
        <v>38</v>
      </c>
      <c r="C74" s="204" t="s">
        <v>340</v>
      </c>
      <c r="D74" s="98" t="s">
        <v>245</v>
      </c>
      <c r="E74" s="92" t="s">
        <v>40</v>
      </c>
      <c r="F74" s="63">
        <v>15</v>
      </c>
      <c r="G74" s="95">
        <v>130.18100000000001</v>
      </c>
      <c r="H74" s="94">
        <f>ROUND(F74*G74,2)</f>
        <v>1952.72</v>
      </c>
      <c r="I74" s="141">
        <v>0</v>
      </c>
      <c r="J74" s="143">
        <f>IF(G74&lt;=248.93,0,(IFERROR(IF(ROUND((((H74/F74*30.4)-VLOOKUP((H74/F74*30.4),TARIFA,1))*VLOOKUP((H74/F74*30.4),TARIFA,3)+VLOOKUP((H74/F74*30.4),TARIFA,2)-VLOOKUP((H74/F74*30.4),SUBSIDIO,2))/30.4*F74,2)&gt;0,ROUND((((H74/F74*30.4)-VLOOKUP((H74/F74*30.4),TARIFA,1))*VLOOKUP((H74/F74*30.4),TARIFA,3)+VLOOKUP((H74/F74*30.4),TARIFA,2)-VLOOKUP((H74/F74*30.4),SUBSIDIO,2))/30.4*F74,2),0),0)))</f>
        <v>0</v>
      </c>
      <c r="K74" s="143">
        <f>J74</f>
        <v>0</v>
      </c>
      <c r="L74" s="95">
        <f>H74+I74-K74</f>
        <v>1952.72</v>
      </c>
      <c r="M74" s="110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</row>
    <row r="75" spans="1:96" ht="30" customHeight="1" x14ac:dyDescent="0.2">
      <c r="B75" s="106"/>
      <c r="C75" s="204"/>
      <c r="D75" s="71"/>
      <c r="E75" s="65" t="s">
        <v>33</v>
      </c>
      <c r="F75" s="197"/>
      <c r="G75" s="207"/>
      <c r="H75" s="97">
        <f>SUM(H73:H74)</f>
        <v>6840.72</v>
      </c>
      <c r="I75" s="142">
        <f>SUM(I73:I74)</f>
        <v>0</v>
      </c>
      <c r="J75" s="97">
        <f>SUM(J73:J74)</f>
        <v>375.35</v>
      </c>
      <c r="K75" s="97">
        <f>SUM(K73:K74)</f>
        <v>375.35</v>
      </c>
      <c r="L75" s="97">
        <f>SUM(L73:L74)</f>
        <v>6465.37</v>
      </c>
      <c r="M75" s="109"/>
    </row>
    <row r="76" spans="1:96" s="33" customFormat="1" ht="30" customHeight="1" x14ac:dyDescent="0.2">
      <c r="A76" s="28"/>
      <c r="B76" s="387" t="s">
        <v>55</v>
      </c>
      <c r="C76" s="388"/>
      <c r="D76" s="389"/>
      <c r="E76" s="389"/>
      <c r="F76" s="389"/>
      <c r="G76" s="389"/>
      <c r="H76" s="389"/>
      <c r="I76" s="389"/>
      <c r="J76" s="389"/>
      <c r="K76" s="389"/>
      <c r="L76" s="389"/>
      <c r="M76" s="390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</row>
    <row r="77" spans="1:96" ht="30" customHeight="1" x14ac:dyDescent="0.2">
      <c r="B77" s="106">
        <v>39</v>
      </c>
      <c r="C77" s="204" t="s">
        <v>340</v>
      </c>
      <c r="D77" s="98" t="s">
        <v>352</v>
      </c>
      <c r="E77" s="92" t="s">
        <v>51</v>
      </c>
      <c r="F77" s="63">
        <v>15</v>
      </c>
      <c r="G77" s="95">
        <v>278.26650000000001</v>
      </c>
      <c r="H77" s="94">
        <f>ROUND(F77*G77,2)</f>
        <v>4174</v>
      </c>
      <c r="I77" s="141">
        <v>0</v>
      </c>
      <c r="J77" s="95">
        <f>IF(G77&lt;=248.93,0,(IFERROR(IF(ROUND((((H77/F77*30.4)-VLOOKUP((H77/F77*30.4),TARIFA,1))*VLOOKUP((H77/F77*30.4),TARIFA,3)+VLOOKUP((H77/F77*30.4),TARIFA,2)-VLOOKUP((H77/F77*30.4),SUBSIDIO,2))/30.4*F77,2)&gt;0,ROUND((((H77/F77*30.4)-VLOOKUP((H77/F77*30.4),TARIFA,1))*VLOOKUP((H77/F77*30.4),TARIFA,3)+VLOOKUP((H77/F77*30.4),TARIFA,2)-VLOOKUP((H77/F77*30.4),SUBSIDIO,2))/30.4*F77,2),0),0)))</f>
        <v>105.23</v>
      </c>
      <c r="K77" s="95">
        <f>J77</f>
        <v>105.23</v>
      </c>
      <c r="L77" s="95">
        <f>H77+I77-K77</f>
        <v>4068.77</v>
      </c>
      <c r="M77" s="110"/>
    </row>
    <row r="78" spans="1:96" ht="30" customHeight="1" x14ac:dyDescent="0.2">
      <c r="B78" s="106"/>
      <c r="C78" s="204"/>
      <c r="D78" s="72"/>
      <c r="E78" s="65" t="s">
        <v>33</v>
      </c>
      <c r="F78" s="197"/>
      <c r="G78" s="207"/>
      <c r="H78" s="97">
        <f>SUM(H77:H77)</f>
        <v>4174</v>
      </c>
      <c r="I78" s="142">
        <f>SUM(I77:I77)</f>
        <v>0</v>
      </c>
      <c r="J78" s="97">
        <f>SUM(J77:J77)</f>
        <v>105.23</v>
      </c>
      <c r="K78" s="97">
        <f>SUM(K77:K77)</f>
        <v>105.23</v>
      </c>
      <c r="L78" s="97">
        <f>SUM(L77:L77)</f>
        <v>4068.77</v>
      </c>
      <c r="M78" s="109"/>
    </row>
    <row r="79" spans="1:96" s="33" customFormat="1" ht="30" customHeight="1" x14ac:dyDescent="0.2">
      <c r="A79" s="28"/>
      <c r="B79" s="387" t="s">
        <v>50</v>
      </c>
      <c r="C79" s="388"/>
      <c r="D79" s="389"/>
      <c r="E79" s="389"/>
      <c r="F79" s="389"/>
      <c r="G79" s="389"/>
      <c r="H79" s="389"/>
      <c r="I79" s="389"/>
      <c r="J79" s="389"/>
      <c r="K79" s="389"/>
      <c r="L79" s="389"/>
      <c r="M79" s="390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</row>
    <row r="80" spans="1:96" s="77" customFormat="1" ht="30" customHeight="1" x14ac:dyDescent="0.2">
      <c r="A80" s="28"/>
      <c r="B80" s="106">
        <v>40</v>
      </c>
      <c r="C80" s="204"/>
      <c r="D80" s="98" t="s">
        <v>256</v>
      </c>
      <c r="E80" s="92" t="s">
        <v>51</v>
      </c>
      <c r="F80" s="63">
        <v>15</v>
      </c>
      <c r="G80" s="95">
        <v>278.26650000000001</v>
      </c>
      <c r="H80" s="94">
        <f>ROUND(F80*G80,2)</f>
        <v>4174</v>
      </c>
      <c r="I80" s="141">
        <v>0</v>
      </c>
      <c r="J80" s="95">
        <f>IF(G80&lt;=248.93,0,(IFERROR(IF(ROUND((((H80/F80*30.4)-VLOOKUP((H80/F80*30.4),TARIFA,1))*VLOOKUP((H80/F80*30.4),TARIFA,3)+VLOOKUP((H80/F80*30.4),TARIFA,2)-VLOOKUP((H80/F80*30.4),SUBSIDIO,2))/30.4*F80,2)&gt;0,ROUND((((H80/F80*30.4)-VLOOKUP((H80/F80*30.4),TARIFA,1))*VLOOKUP((H80/F80*30.4),TARIFA,3)+VLOOKUP((H80/F80*30.4),TARIFA,2)-VLOOKUP((H80/F80*30.4),SUBSIDIO,2))/30.4*F80,2),0),0)))</f>
        <v>105.23</v>
      </c>
      <c r="K80" s="95">
        <f>J80</f>
        <v>105.23</v>
      </c>
      <c r="L80" s="95">
        <f>H80+I80-K80</f>
        <v>4068.77</v>
      </c>
      <c r="M80" s="110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</row>
    <row r="81" spans="1:96" ht="30" customHeight="1" x14ac:dyDescent="0.2">
      <c r="B81" s="106"/>
      <c r="C81" s="204"/>
      <c r="D81" s="72"/>
      <c r="E81" s="65" t="s">
        <v>33</v>
      </c>
      <c r="F81" s="197"/>
      <c r="G81" s="207"/>
      <c r="H81" s="97">
        <f>SUM(H80:H80)</f>
        <v>4174</v>
      </c>
      <c r="I81" s="142">
        <f>SUM(I80:I80)</f>
        <v>0</v>
      </c>
      <c r="J81" s="97">
        <f>SUM(J80:J80)</f>
        <v>105.23</v>
      </c>
      <c r="K81" s="97">
        <f>SUM(K80:K80)</f>
        <v>105.23</v>
      </c>
      <c r="L81" s="97">
        <f>SUM(L80:L80)</f>
        <v>4068.77</v>
      </c>
      <c r="M81" s="109"/>
    </row>
    <row r="82" spans="1:96" ht="30" customHeight="1" x14ac:dyDescent="0.2">
      <c r="B82" s="387" t="s">
        <v>57</v>
      </c>
      <c r="C82" s="388"/>
      <c r="D82" s="389"/>
      <c r="E82" s="389"/>
      <c r="F82" s="389"/>
      <c r="G82" s="389"/>
      <c r="H82" s="389"/>
      <c r="I82" s="389"/>
      <c r="J82" s="389"/>
      <c r="K82" s="389"/>
      <c r="L82" s="389"/>
      <c r="M82" s="390"/>
    </row>
    <row r="83" spans="1:96" ht="30" customHeight="1" x14ac:dyDescent="0.2">
      <c r="B83" s="106">
        <v>41</v>
      </c>
      <c r="C83" s="204" t="s">
        <v>340</v>
      </c>
      <c r="D83" s="98" t="s">
        <v>244</v>
      </c>
      <c r="E83" s="92" t="s">
        <v>58</v>
      </c>
      <c r="F83" s="63">
        <v>15</v>
      </c>
      <c r="G83" s="95">
        <v>214</v>
      </c>
      <c r="H83" s="94">
        <f>ROUND(F83*G83,2)</f>
        <v>3210</v>
      </c>
      <c r="I83" s="141">
        <v>0</v>
      </c>
      <c r="J83" s="143">
        <f>IF(G83&lt;=248.93,0,(IFERROR(IF(ROUND((((H83/F83*30.4)-VLOOKUP((H83/F83*30.4),TARIFA,1))*VLOOKUP((H83/F83*30.4),TARIFA,3)+VLOOKUP((H83/F83*30.4),TARIFA,2)-VLOOKUP((H83/F83*30.4),SUBSIDIO,2))/30.4*F83,2)&gt;0,ROUND((((H83/F83*30.4)-VLOOKUP((H83/F83*30.4),TARIFA,1))*VLOOKUP((H83/F83*30.4),TARIFA,3)+VLOOKUP((H83/F83*30.4),TARIFA,2)-VLOOKUP((H83/F83*30.4),SUBSIDIO,2))/30.4*F83,2),0),0)))</f>
        <v>0</v>
      </c>
      <c r="K83" s="143">
        <f>J83</f>
        <v>0</v>
      </c>
      <c r="L83" s="95">
        <f>H83+I83-K83</f>
        <v>3210</v>
      </c>
      <c r="M83" s="110"/>
    </row>
    <row r="84" spans="1:96" s="77" customFormat="1" ht="30" customHeight="1" x14ac:dyDescent="0.2">
      <c r="A84" s="28"/>
      <c r="B84" s="106">
        <v>42</v>
      </c>
      <c r="C84" s="204" t="s">
        <v>340</v>
      </c>
      <c r="D84" s="98" t="s">
        <v>243</v>
      </c>
      <c r="E84" s="92" t="s">
        <v>68</v>
      </c>
      <c r="F84" s="63">
        <v>15</v>
      </c>
      <c r="G84" s="95">
        <v>229.733</v>
      </c>
      <c r="H84" s="94">
        <f>ROUND(F84*G84,2)</f>
        <v>3446</v>
      </c>
      <c r="I84" s="141">
        <v>0</v>
      </c>
      <c r="J84" s="143">
        <f>IF(G84&lt;=248.93,0,(IFERROR(IF(ROUND((((H84/F84*30.4)-VLOOKUP((H84/F84*30.4),TARIFA,1))*VLOOKUP((H84/F84*30.4),TARIFA,3)+VLOOKUP((H84/F84*30.4),TARIFA,2)-VLOOKUP((H84/F84*30.4),SUBSIDIO,2))/30.4*F84,2)&gt;0,ROUND((((H84/F84*30.4)-VLOOKUP((H84/F84*30.4),TARIFA,1))*VLOOKUP((H84/F84*30.4),TARIFA,3)+VLOOKUP((H84/F84*30.4),TARIFA,2)-VLOOKUP((H84/F84*30.4),SUBSIDIO,2))/30.4*F84,2),0),0)))</f>
        <v>0</v>
      </c>
      <c r="K84" s="143">
        <f>J84</f>
        <v>0</v>
      </c>
      <c r="L84" s="95">
        <f>H84+I84-K84</f>
        <v>3446</v>
      </c>
      <c r="M84" s="110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</row>
    <row r="85" spans="1:96" ht="30" customHeight="1" x14ac:dyDescent="0.2">
      <c r="B85" s="106"/>
      <c r="C85" s="204"/>
      <c r="D85" s="71"/>
      <c r="E85" s="65" t="s">
        <v>33</v>
      </c>
      <c r="F85" s="65"/>
      <c r="G85" s="207"/>
      <c r="H85" s="97">
        <f>SUM(H83:H84)</f>
        <v>6656</v>
      </c>
      <c r="I85" s="142">
        <f>SUM(I83:I84)</f>
        <v>0</v>
      </c>
      <c r="J85" s="142">
        <f>SUM(J83:J84)</f>
        <v>0</v>
      </c>
      <c r="K85" s="142">
        <f>SUM(K83:K84)</f>
        <v>0</v>
      </c>
      <c r="L85" s="97">
        <f>SUM(L83:L84)</f>
        <v>6656</v>
      </c>
      <c r="M85" s="109"/>
    </row>
    <row r="86" spans="1:96" ht="30" customHeight="1" x14ac:dyDescent="0.2">
      <c r="B86" s="381" t="s">
        <v>59</v>
      </c>
      <c r="C86" s="382"/>
      <c r="D86" s="382"/>
      <c r="E86" s="382"/>
      <c r="F86" s="382"/>
      <c r="G86" s="382"/>
      <c r="H86" s="382"/>
      <c r="I86" s="382"/>
      <c r="J86" s="382"/>
      <c r="K86" s="382"/>
      <c r="L86" s="382"/>
      <c r="M86" s="383"/>
    </row>
    <row r="87" spans="1:96" s="5" customFormat="1" ht="30" customHeight="1" x14ac:dyDescent="0.2">
      <c r="B87" s="106">
        <v>43</v>
      </c>
      <c r="C87" s="204" t="s">
        <v>340</v>
      </c>
      <c r="D87" s="96" t="s">
        <v>452</v>
      </c>
      <c r="E87" s="92" t="s">
        <v>35</v>
      </c>
      <c r="F87" s="63">
        <v>15</v>
      </c>
      <c r="G87" s="95">
        <v>598.53300000000002</v>
      </c>
      <c r="H87" s="94">
        <f>ROUND(F87*G87,2)</f>
        <v>8978</v>
      </c>
      <c r="I87" s="141">
        <v>0</v>
      </c>
      <c r="J87" s="95">
        <f>IF(G87&lt;=248.93,0,(IFERROR(IF(ROUND((((H87/F87*30.4)-VLOOKUP((H87/F87*30.4),TARIFA,1))*VLOOKUP((H87/F87*30.4),TARIFA,3)+VLOOKUP((H87/F87*30.4),TARIFA,2)-VLOOKUP((H87/F87*30.4),SUBSIDIO,2))/30.4*F87,2)&gt;0,ROUND((((H87/F87*30.4)-VLOOKUP((H87/F87*30.4),TARIFA,1))*VLOOKUP((H87/F87*30.4),TARIFA,3)+VLOOKUP((H87/F87*30.4),TARIFA,2)-VLOOKUP((H87/F87*30.4),SUBSIDIO,2))/30.4*F87,2),0),0)))</f>
        <v>1094.68</v>
      </c>
      <c r="K87" s="95">
        <f>J87</f>
        <v>1094.68</v>
      </c>
      <c r="L87" s="95">
        <f>H87+I87-K87</f>
        <v>7883.32</v>
      </c>
      <c r="M87" s="110"/>
    </row>
    <row r="88" spans="1:96" s="77" customFormat="1" ht="30" customHeight="1" x14ac:dyDescent="0.2">
      <c r="A88" s="28"/>
      <c r="B88" s="106">
        <v>44</v>
      </c>
      <c r="C88" s="204" t="s">
        <v>340</v>
      </c>
      <c r="D88" s="98" t="s">
        <v>242</v>
      </c>
      <c r="E88" s="92" t="s">
        <v>42</v>
      </c>
      <c r="F88" s="63">
        <v>15</v>
      </c>
      <c r="G88" s="95">
        <v>174.02600000000001</v>
      </c>
      <c r="H88" s="94">
        <f>ROUND(F88*G88,2)</f>
        <v>2610.39</v>
      </c>
      <c r="I88" s="141">
        <v>0</v>
      </c>
      <c r="J88" s="143">
        <f>IF(G88&lt;=248.93,0,(IFERROR(IF(ROUND((((H88/F88*30.4)-VLOOKUP((H88/F88*30.4),TARIFA,1))*VLOOKUP((H88/F88*30.4),TARIFA,3)+VLOOKUP((H88/F88*30.4),TARIFA,2)-VLOOKUP((H88/F88*30.4),SUBSIDIO,2))/30.4*F88,2)&gt;0,ROUND((((H88/F88*30.4)-VLOOKUP((H88/F88*30.4),TARIFA,1))*VLOOKUP((H88/F88*30.4),TARIFA,3)+VLOOKUP((H88/F88*30.4),TARIFA,2)-VLOOKUP((H88/F88*30.4),SUBSIDIO,2))/30.4*F88,2),0),0)))</f>
        <v>0</v>
      </c>
      <c r="K88" s="143">
        <v>0</v>
      </c>
      <c r="L88" s="95">
        <f>H88+I88-K88</f>
        <v>2610.39</v>
      </c>
      <c r="M88" s="110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</row>
    <row r="89" spans="1:96" ht="30" customHeight="1" x14ac:dyDescent="0.2">
      <c r="B89" s="106"/>
      <c r="C89" s="204"/>
      <c r="D89" s="71"/>
      <c r="E89" s="65" t="s">
        <v>33</v>
      </c>
      <c r="F89" s="197"/>
      <c r="G89" s="207"/>
      <c r="H89" s="97">
        <f>SUM(H87:H88)</f>
        <v>11588.39</v>
      </c>
      <c r="I89" s="142">
        <f>SUM(I87:I88)</f>
        <v>0</v>
      </c>
      <c r="J89" s="97">
        <f>SUM(J87:J88)</f>
        <v>1094.68</v>
      </c>
      <c r="K89" s="97">
        <f>SUM(K87:K88)</f>
        <v>1094.68</v>
      </c>
      <c r="L89" s="97">
        <f>SUM(L87:L88)</f>
        <v>10493.71</v>
      </c>
      <c r="M89" s="109"/>
    </row>
    <row r="90" spans="1:96" ht="30" customHeight="1" x14ac:dyDescent="0.2">
      <c r="B90" s="387" t="s">
        <v>75</v>
      </c>
      <c r="C90" s="388"/>
      <c r="D90" s="389"/>
      <c r="E90" s="389"/>
      <c r="F90" s="389"/>
      <c r="G90" s="389"/>
      <c r="H90" s="389"/>
      <c r="I90" s="389"/>
      <c r="J90" s="389"/>
      <c r="K90" s="389"/>
      <c r="L90" s="389"/>
      <c r="M90" s="390"/>
    </row>
    <row r="91" spans="1:96" ht="30" customHeight="1" x14ac:dyDescent="0.2">
      <c r="B91" s="106">
        <v>45</v>
      </c>
      <c r="C91" s="204"/>
      <c r="D91" s="98" t="s">
        <v>241</v>
      </c>
      <c r="E91" s="92" t="s">
        <v>35</v>
      </c>
      <c r="F91" s="63">
        <v>15</v>
      </c>
      <c r="G91" s="95">
        <v>315.13299999999998</v>
      </c>
      <c r="H91" s="94">
        <f>ROUND(F91*G91,2)</f>
        <v>4727</v>
      </c>
      <c r="I91" s="141">
        <v>0</v>
      </c>
      <c r="J91" s="95">
        <f>IF(G91&lt;=248.93,0,(IFERROR(IF(ROUND((((H91/F91*30.4)-VLOOKUP((H91/F91*30.4),TARIFA,1))*VLOOKUP((H91/F91*30.4),TARIFA,3)+VLOOKUP((H91/F91*30.4),TARIFA,2)-VLOOKUP((H91/F91*30.4),SUBSIDIO,2))/30.4*F91,2)&gt;0,ROUND((((H91/F91*30.4)-VLOOKUP((H91/F91*30.4),TARIFA,1))*VLOOKUP((H91/F91*30.4),TARIFA,3)+VLOOKUP((H91/F91*30.4),TARIFA,2)-VLOOKUP((H91/F91*30.4),SUBSIDIO,2))/30.4*F91,2),0),0)))</f>
        <v>357.83</v>
      </c>
      <c r="K91" s="95">
        <f>J91</f>
        <v>357.83</v>
      </c>
      <c r="L91" s="95">
        <f>H91+I91-K91</f>
        <v>4369.17</v>
      </c>
      <c r="M91" s="110"/>
    </row>
    <row r="92" spans="1:96" ht="30" customHeight="1" x14ac:dyDescent="0.2">
      <c r="B92" s="106"/>
      <c r="C92" s="204"/>
      <c r="D92" s="71"/>
      <c r="E92" s="65" t="s">
        <v>33</v>
      </c>
      <c r="F92" s="197"/>
      <c r="G92" s="207"/>
      <c r="H92" s="97">
        <f>SUM(H91:H91)</f>
        <v>4727</v>
      </c>
      <c r="I92" s="142">
        <f>SUM(I91:I91)</f>
        <v>0</v>
      </c>
      <c r="J92" s="97">
        <f>SUM(J91:J91)</f>
        <v>357.83</v>
      </c>
      <c r="K92" s="97">
        <f>SUM(K91:K91)</f>
        <v>357.83</v>
      </c>
      <c r="L92" s="97">
        <f>SUM(L91:L91)</f>
        <v>4369.17</v>
      </c>
      <c r="M92" s="109"/>
    </row>
    <row r="93" spans="1:96" ht="30" customHeight="1" x14ac:dyDescent="0.2">
      <c r="B93" s="387" t="s">
        <v>84</v>
      </c>
      <c r="C93" s="388"/>
      <c r="D93" s="389"/>
      <c r="E93" s="389"/>
      <c r="F93" s="389"/>
      <c r="G93" s="389"/>
      <c r="H93" s="389"/>
      <c r="I93" s="389"/>
      <c r="J93" s="389"/>
      <c r="K93" s="389"/>
      <c r="L93" s="389"/>
      <c r="M93" s="390"/>
    </row>
    <row r="94" spans="1:96" s="77" customFormat="1" ht="30" customHeight="1" x14ac:dyDescent="0.2">
      <c r="A94" s="28"/>
      <c r="B94" s="106">
        <v>46</v>
      </c>
      <c r="C94" s="204" t="s">
        <v>340</v>
      </c>
      <c r="D94" s="98" t="s">
        <v>240</v>
      </c>
      <c r="E94" s="92" t="s">
        <v>35</v>
      </c>
      <c r="F94" s="63">
        <v>15</v>
      </c>
      <c r="G94" s="95">
        <v>466.33300000000003</v>
      </c>
      <c r="H94" s="94">
        <f>ROUND(F94*G94,2)</f>
        <v>6995</v>
      </c>
      <c r="I94" s="141">
        <v>0</v>
      </c>
      <c r="J94" s="95">
        <f>IF(G94&lt;=248.93,0,(IFERROR(IF(ROUND((((H94/F94*30.4)-VLOOKUP((H94/F94*30.4),TARIFA,1))*VLOOKUP((H94/F94*30.4),TARIFA,3)+VLOOKUP((H94/F94*30.4),TARIFA,2)-VLOOKUP((H94/F94*30.4),SUBSIDIO,2))/30.4*F94,2)&gt;0,ROUND((((H94/F94*30.4)-VLOOKUP((H94/F94*30.4),TARIFA,1))*VLOOKUP((H94/F94*30.4),TARIFA,3)+VLOOKUP((H94/F94*30.4),TARIFA,2)-VLOOKUP((H94/F94*30.4),SUBSIDIO,2))/30.4*F94,2),0),0)))</f>
        <v>693.36</v>
      </c>
      <c r="K94" s="95">
        <f>J94</f>
        <v>693.36</v>
      </c>
      <c r="L94" s="95">
        <f>H94+I94-K94</f>
        <v>6301.64</v>
      </c>
      <c r="M94" s="110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</row>
    <row r="95" spans="1:96" ht="30" customHeight="1" x14ac:dyDescent="0.2">
      <c r="B95" s="106"/>
      <c r="C95" s="204"/>
      <c r="D95" s="71"/>
      <c r="E95" s="65" t="s">
        <v>33</v>
      </c>
      <c r="F95" s="197"/>
      <c r="G95" s="207"/>
      <c r="H95" s="97">
        <f>SUM(H94:H94)</f>
        <v>6995</v>
      </c>
      <c r="I95" s="142">
        <f t="shared" ref="I95:L95" si="17">SUM(I94:I94)</f>
        <v>0</v>
      </c>
      <c r="J95" s="97">
        <f t="shared" si="17"/>
        <v>693.36</v>
      </c>
      <c r="K95" s="97">
        <f t="shared" si="17"/>
        <v>693.36</v>
      </c>
      <c r="L95" s="97">
        <f t="shared" si="17"/>
        <v>6301.64</v>
      </c>
      <c r="M95" s="109"/>
    </row>
    <row r="96" spans="1:96" ht="14.25" customHeight="1" x14ac:dyDescent="0.2">
      <c r="B96" s="396"/>
      <c r="C96" s="397"/>
      <c r="D96" s="397"/>
      <c r="E96" s="397"/>
      <c r="F96" s="397"/>
      <c r="G96" s="397"/>
      <c r="H96" s="397"/>
      <c r="I96" s="397"/>
      <c r="J96" s="397"/>
      <c r="K96" s="397"/>
      <c r="L96" s="397"/>
      <c r="M96" s="398"/>
    </row>
    <row r="97" spans="2:13" ht="20.25" customHeight="1" x14ac:dyDescent="0.2">
      <c r="B97" s="393" t="s">
        <v>17</v>
      </c>
      <c r="C97" s="394"/>
      <c r="D97" s="395"/>
      <c r="E97" s="395"/>
      <c r="F97" s="395"/>
      <c r="G97" s="395"/>
      <c r="H97" s="97">
        <f t="shared" ref="H97:M97" si="18">+H14+H17+H21+H28+H32+H37+H40+H44+H48+H51+H55+H63+H66+H71+H75+H78+H85+H89+H92+H95+H81</f>
        <v>221158.09999999998</v>
      </c>
      <c r="I97" s="142">
        <f t="shared" si="18"/>
        <v>0</v>
      </c>
      <c r="J97" s="97">
        <f t="shared" si="18"/>
        <v>16076.050000000001</v>
      </c>
      <c r="K97" s="97">
        <f t="shared" si="18"/>
        <v>16076.050000000001</v>
      </c>
      <c r="L97" s="97">
        <f t="shared" si="18"/>
        <v>205082.05</v>
      </c>
      <c r="M97" s="97">
        <f t="shared" si="18"/>
        <v>0</v>
      </c>
    </row>
    <row r="98" spans="2:13" ht="20.100000000000001" customHeight="1" x14ac:dyDescent="0.2">
      <c r="B98" s="113"/>
      <c r="C98" s="111"/>
      <c r="D98" s="111"/>
      <c r="E98" s="111"/>
      <c r="F98" s="111"/>
      <c r="G98" s="111"/>
      <c r="H98" s="112"/>
      <c r="I98" s="112"/>
      <c r="J98" s="112"/>
      <c r="K98" s="112"/>
      <c r="L98" s="112"/>
      <c r="M98" s="114"/>
    </row>
    <row r="99" spans="2:13" ht="20.100000000000001" customHeight="1" x14ac:dyDescent="0.2">
      <c r="B99" s="113"/>
      <c r="C99" s="111"/>
      <c r="D99" s="111"/>
      <c r="E99" s="111"/>
      <c r="F99" s="111"/>
      <c r="G99" s="111"/>
      <c r="H99" s="112"/>
      <c r="I99" s="112"/>
      <c r="J99" s="112"/>
      <c r="K99" s="112"/>
      <c r="L99" s="112"/>
      <c r="M99" s="114"/>
    </row>
    <row r="100" spans="2:13" ht="20.100000000000001" customHeight="1" x14ac:dyDescent="0.2">
      <c r="B100" s="113"/>
      <c r="C100" s="111"/>
      <c r="D100" s="111"/>
      <c r="E100" s="111"/>
      <c r="F100" s="111"/>
      <c r="G100" s="111"/>
      <c r="H100" s="112"/>
      <c r="I100" s="112"/>
      <c r="J100" s="112"/>
      <c r="K100" s="112"/>
      <c r="L100" s="112"/>
      <c r="M100" s="114"/>
    </row>
    <row r="101" spans="2:13" ht="20.100000000000001" customHeight="1" x14ac:dyDescent="0.2">
      <c r="B101" s="113"/>
      <c r="C101" s="111"/>
      <c r="D101" s="111"/>
      <c r="E101" s="111"/>
      <c r="F101" s="111"/>
      <c r="G101" s="111"/>
      <c r="H101" s="112"/>
      <c r="I101" s="112"/>
      <c r="J101" s="112"/>
      <c r="K101" s="112"/>
      <c r="L101" s="112"/>
      <c r="M101" s="114"/>
    </row>
    <row r="102" spans="2:13" ht="13.5" x14ac:dyDescent="0.2">
      <c r="B102" s="88"/>
      <c r="C102" s="5"/>
      <c r="D102" s="375" t="s">
        <v>455</v>
      </c>
      <c r="E102" s="375"/>
      <c r="F102" s="5"/>
      <c r="G102" s="5"/>
      <c r="H102" s="32"/>
      <c r="K102" s="87" t="s">
        <v>280</v>
      </c>
      <c r="L102" s="87"/>
      <c r="M102" s="86"/>
    </row>
    <row r="103" spans="2:13" ht="13.5" thickBot="1" x14ac:dyDescent="0.25">
      <c r="B103" s="89"/>
      <c r="C103" s="90"/>
      <c r="D103" s="391" t="s">
        <v>279</v>
      </c>
      <c r="E103" s="391"/>
      <c r="F103" s="90"/>
      <c r="G103" s="90"/>
      <c r="H103" s="91"/>
      <c r="I103" s="124"/>
      <c r="J103" s="124"/>
      <c r="K103" s="391" t="s">
        <v>281</v>
      </c>
      <c r="L103" s="391"/>
      <c r="M103" s="392"/>
    </row>
    <row r="104" spans="2:13" x14ac:dyDescent="0.2">
      <c r="M104" s="24"/>
    </row>
    <row r="106" spans="2:13" x14ac:dyDescent="0.2">
      <c r="K106" s="25" t="s">
        <v>90</v>
      </c>
      <c r="L106" s="144">
        <f>L10+L12+L23+L24+L25+L26+L27+L30+L31+L34+L35+L36+L43+L46+L47+L53+L54+L58+L59+L60+L61+L62+L69+L70+L74+L77+L83+L84+L87+L88+L94</f>
        <v>112983.47</v>
      </c>
      <c r="M106" s="263"/>
    </row>
    <row r="107" spans="2:13" x14ac:dyDescent="0.2">
      <c r="K107" s="25" t="s">
        <v>91</v>
      </c>
      <c r="L107" s="144">
        <f>L9+L11+L13+L16+L19+L20+L39+L42+L50+L57+L65+L68+L73+L80+L91</f>
        <v>92098.579999999987</v>
      </c>
    </row>
    <row r="108" spans="2:13" x14ac:dyDescent="0.2">
      <c r="E108" s="34" t="s">
        <v>338</v>
      </c>
      <c r="L108" s="144">
        <f>SUM(L106:L107)</f>
        <v>205082.05</v>
      </c>
    </row>
    <row r="110" spans="2:13" x14ac:dyDescent="0.2">
      <c r="K110" s="25" t="s">
        <v>288</v>
      </c>
      <c r="L110" s="145">
        <f>L97-L108</f>
        <v>0</v>
      </c>
    </row>
  </sheetData>
  <mergeCells count="29">
    <mergeCell ref="B79:M79"/>
    <mergeCell ref="B76:M76"/>
    <mergeCell ref="B82:M82"/>
    <mergeCell ref="B49:M49"/>
    <mergeCell ref="B67:M67"/>
    <mergeCell ref="B56:M56"/>
    <mergeCell ref="B86:M86"/>
    <mergeCell ref="B72:M72"/>
    <mergeCell ref="B52:M52"/>
    <mergeCell ref="B64:M64"/>
    <mergeCell ref="D103:E103"/>
    <mergeCell ref="K103:M103"/>
    <mergeCell ref="B97:G97"/>
    <mergeCell ref="B93:M93"/>
    <mergeCell ref="B90:M90"/>
    <mergeCell ref="B96:M96"/>
    <mergeCell ref="D102:E102"/>
    <mergeCell ref="B15:M15"/>
    <mergeCell ref="B18:M18"/>
    <mergeCell ref="B22:M22"/>
    <mergeCell ref="B45:M45"/>
    <mergeCell ref="B33:M33"/>
    <mergeCell ref="B38:M38"/>
    <mergeCell ref="B29:M29"/>
    <mergeCell ref="B41:M41"/>
    <mergeCell ref="E2:J2"/>
    <mergeCell ref="E5:J5"/>
    <mergeCell ref="K5:M5"/>
    <mergeCell ref="D7:I7"/>
  </mergeCells>
  <pageMargins left="0.25" right="0.25" top="0.75" bottom="0.75" header="0.3" footer="0.3"/>
  <pageSetup scale="79" fitToHeight="0" orientation="landscape" horizontalDpi="4294967293" r:id="rId1"/>
  <rowBreaks count="1" manualBreakCount="1">
    <brk id="78" min="1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59"/>
  <sheetViews>
    <sheetView showGridLines="0" topLeftCell="A89" zoomScale="80" zoomScaleNormal="80" workbookViewId="0">
      <selection activeCell="F91" sqref="F1:F1048576"/>
    </sheetView>
  </sheetViews>
  <sheetFormatPr baseColWidth="10" defaultColWidth="11.42578125" defaultRowHeight="18" x14ac:dyDescent="0.2"/>
  <cols>
    <col min="1" max="1" width="4.5703125" style="28" customWidth="1"/>
    <col min="2" max="2" width="4.5703125" style="4" customWidth="1"/>
    <col min="3" max="3" width="5.28515625" style="4" customWidth="1"/>
    <col min="4" max="4" width="38.5703125" style="79" customWidth="1"/>
    <col min="5" max="5" width="20.140625" style="75" bestFit="1" customWidth="1"/>
    <col min="6" max="6" width="6.5703125" style="25" customWidth="1"/>
    <col min="7" max="7" width="9.42578125" style="25" bestFit="1" customWidth="1"/>
    <col min="8" max="8" width="13.28515625" style="25" customWidth="1"/>
    <col min="9" max="9" width="11.28515625" style="25" bestFit="1" customWidth="1"/>
    <col min="10" max="10" width="11.28515625" style="25" customWidth="1"/>
    <col min="11" max="12" width="12.7109375" style="25" bestFit="1" customWidth="1"/>
    <col min="13" max="13" width="27.85546875" style="25" customWidth="1"/>
    <col min="14" max="16384" width="11.42578125" style="28"/>
  </cols>
  <sheetData>
    <row r="1" spans="1:14" ht="14.25" x14ac:dyDescent="0.2">
      <c r="A1" s="28">
        <v>0</v>
      </c>
      <c r="B1" s="125"/>
      <c r="C1" s="201"/>
      <c r="D1" s="126"/>
      <c r="E1" s="127"/>
      <c r="F1" s="128"/>
      <c r="G1" s="128"/>
      <c r="H1" s="128"/>
      <c r="I1" s="128"/>
      <c r="J1" s="264"/>
      <c r="K1" s="128"/>
      <c r="L1" s="128"/>
      <c r="M1" s="129"/>
    </row>
    <row r="2" spans="1:14" ht="24" customHeight="1" x14ac:dyDescent="0.2">
      <c r="B2" s="130"/>
      <c r="C2" s="202"/>
      <c r="D2" s="74"/>
      <c r="E2" s="376" t="s">
        <v>285</v>
      </c>
      <c r="F2" s="376"/>
      <c r="G2" s="376"/>
      <c r="H2" s="376"/>
      <c r="I2" s="376"/>
      <c r="J2" s="376"/>
      <c r="K2" s="131"/>
      <c r="L2" s="131"/>
      <c r="M2" s="132"/>
      <c r="N2" s="47"/>
    </row>
    <row r="3" spans="1:14" ht="14.25" x14ac:dyDescent="0.2">
      <c r="B3" s="130"/>
      <c r="C3" s="202"/>
      <c r="D3" s="74"/>
      <c r="E3" s="133"/>
      <c r="F3" s="131"/>
      <c r="G3" s="131"/>
      <c r="H3" s="131"/>
      <c r="I3" s="131"/>
      <c r="J3" s="131"/>
      <c r="K3" s="131"/>
      <c r="L3" s="131"/>
      <c r="M3" s="132"/>
      <c r="N3" s="47"/>
    </row>
    <row r="4" spans="1:14" ht="14.25" x14ac:dyDescent="0.2">
      <c r="B4" s="130"/>
      <c r="C4" s="202"/>
      <c r="D4" s="74"/>
      <c r="E4" s="133"/>
      <c r="F4" s="131"/>
      <c r="G4" s="131"/>
      <c r="H4" s="131"/>
      <c r="I4" s="131"/>
      <c r="J4" s="131"/>
      <c r="K4" s="131"/>
      <c r="L4" s="131"/>
      <c r="M4" s="132"/>
      <c r="N4" s="47"/>
    </row>
    <row r="5" spans="1:14" ht="20.25" x14ac:dyDescent="0.2">
      <c r="B5" s="134"/>
      <c r="C5" s="38"/>
      <c r="D5" s="74"/>
      <c r="E5" s="376" t="s">
        <v>287</v>
      </c>
      <c r="F5" s="376"/>
      <c r="G5" s="376"/>
      <c r="H5" s="376"/>
      <c r="I5" s="376"/>
      <c r="J5" s="376"/>
      <c r="K5" s="378"/>
      <c r="L5" s="378"/>
      <c r="M5" s="379"/>
      <c r="N5" s="47"/>
    </row>
    <row r="6" spans="1:14" ht="36.75" customHeight="1" thickBot="1" x14ac:dyDescent="0.25">
      <c r="B6" s="135"/>
      <c r="C6" s="46"/>
      <c r="D6" s="406" t="s">
        <v>478</v>
      </c>
      <c r="E6" s="406"/>
      <c r="F6" s="406"/>
      <c r="G6" s="406"/>
      <c r="H6" s="406"/>
      <c r="I6" s="406"/>
      <c r="J6" s="136"/>
      <c r="K6" s="136"/>
      <c r="L6" s="136"/>
      <c r="M6" s="137"/>
      <c r="N6" s="47"/>
    </row>
    <row r="7" spans="1:14" ht="30" customHeight="1" x14ac:dyDescent="0.2">
      <c r="B7" s="100" t="s">
        <v>278</v>
      </c>
      <c r="C7" s="203" t="s">
        <v>340</v>
      </c>
      <c r="D7" s="101" t="s">
        <v>14</v>
      </c>
      <c r="E7" s="101" t="s">
        <v>273</v>
      </c>
      <c r="F7" s="101" t="s">
        <v>276</v>
      </c>
      <c r="G7" s="101" t="s">
        <v>277</v>
      </c>
      <c r="H7" s="102" t="s">
        <v>274</v>
      </c>
      <c r="I7" s="101" t="s">
        <v>290</v>
      </c>
      <c r="J7" s="101" t="s">
        <v>291</v>
      </c>
      <c r="K7" s="103" t="s">
        <v>275</v>
      </c>
      <c r="L7" s="103" t="s">
        <v>284</v>
      </c>
      <c r="M7" s="118" t="s">
        <v>283</v>
      </c>
      <c r="N7" s="47"/>
    </row>
    <row r="8" spans="1:14" s="81" customFormat="1" ht="30" customHeight="1" x14ac:dyDescent="0.2">
      <c r="A8" s="5" t="s">
        <v>28</v>
      </c>
      <c r="B8" s="198">
        <v>1</v>
      </c>
      <c r="C8" s="208" t="s">
        <v>340</v>
      </c>
      <c r="D8" s="199" t="s">
        <v>125</v>
      </c>
      <c r="E8" s="199" t="s">
        <v>80</v>
      </c>
      <c r="F8" s="200">
        <v>15</v>
      </c>
      <c r="G8" s="193">
        <v>416</v>
      </c>
      <c r="H8" s="115">
        <f t="shared" ref="H8:H16" si="0">ROUND(F8*G8,2)</f>
        <v>6240</v>
      </c>
      <c r="I8" s="150">
        <v>0</v>
      </c>
      <c r="J8" s="115">
        <f t="shared" ref="J8:J16" si="1">IF(G8&lt;=248.93,0,(IFERROR(IF(ROUND((((H8/F8*30.4)-VLOOKUP((H8/F8*30.4),TARIFA,1))*VLOOKUP((H8/F8*30.4),TARIFA,3)+VLOOKUP((H8/F8*30.4),TARIFA,2)-VLOOKUP((H8/F8*30.4),SUBSIDIO,2))/30.4*F8,2)&gt;0,ROUND((((H8/F8*30.4)-VLOOKUP((H8/F8*30.4),TARIFA,1))*VLOOKUP((H8/F8*30.4),TARIFA,3)+VLOOKUP((H8/F8*30.4),TARIFA,2)-VLOOKUP((H8/F8*30.4),SUBSIDIO,2))/30.4*F8,2),0),0)))</f>
        <v>560.80999999999995</v>
      </c>
      <c r="K8" s="115">
        <f t="shared" ref="K8:K15" si="2">J8</f>
        <v>560.80999999999995</v>
      </c>
      <c r="L8" s="115">
        <f>H8+I8-K8</f>
        <v>5679.1900000000005</v>
      </c>
      <c r="M8" s="119"/>
      <c r="N8" s="82"/>
    </row>
    <row r="9" spans="1:14" s="309" customFormat="1" ht="30" customHeight="1" x14ac:dyDescent="0.2">
      <c r="A9" s="28"/>
      <c r="B9" s="198">
        <v>2</v>
      </c>
      <c r="C9" s="208" t="s">
        <v>340</v>
      </c>
      <c r="D9" s="199" t="s">
        <v>380</v>
      </c>
      <c r="E9" s="199" t="s">
        <v>41</v>
      </c>
      <c r="F9" s="200">
        <v>15</v>
      </c>
      <c r="G9" s="193">
        <v>227.06639999999999</v>
      </c>
      <c r="H9" s="115">
        <f t="shared" ref="H9" si="3">ROUND(F9*G9,2)</f>
        <v>3406</v>
      </c>
      <c r="I9" s="150">
        <v>0</v>
      </c>
      <c r="J9" s="150">
        <f t="shared" si="1"/>
        <v>0</v>
      </c>
      <c r="K9" s="150">
        <f t="shared" ref="K9" si="4">J9</f>
        <v>0</v>
      </c>
      <c r="L9" s="115">
        <f t="shared" ref="L9" si="5">H9+I9-K9</f>
        <v>3406</v>
      </c>
      <c r="M9" s="119"/>
      <c r="N9" s="82"/>
    </row>
    <row r="10" spans="1:14" s="309" customFormat="1" ht="30" customHeight="1" x14ac:dyDescent="0.2">
      <c r="A10" s="28"/>
      <c r="B10" s="198">
        <v>3</v>
      </c>
      <c r="C10" s="208"/>
      <c r="D10" s="199" t="s">
        <v>185</v>
      </c>
      <c r="E10" s="199" t="s">
        <v>85</v>
      </c>
      <c r="F10" s="200">
        <v>15</v>
      </c>
      <c r="G10" s="193">
        <v>282.06639999999999</v>
      </c>
      <c r="H10" s="115">
        <f t="shared" si="0"/>
        <v>4231</v>
      </c>
      <c r="I10" s="150">
        <v>0</v>
      </c>
      <c r="J10" s="115">
        <f t="shared" si="1"/>
        <v>111.44</v>
      </c>
      <c r="K10" s="115">
        <f t="shared" si="2"/>
        <v>111.44</v>
      </c>
      <c r="L10" s="115">
        <f t="shared" ref="L10:L16" si="6">H10+I10-K10</f>
        <v>4119.5600000000004</v>
      </c>
      <c r="M10" s="119"/>
      <c r="N10" s="82"/>
    </row>
    <row r="11" spans="1:14" s="309" customFormat="1" ht="30" customHeight="1" x14ac:dyDescent="0.2">
      <c r="A11" s="28"/>
      <c r="B11" s="198">
        <v>4</v>
      </c>
      <c r="C11" s="208" t="s">
        <v>340</v>
      </c>
      <c r="D11" s="199" t="s">
        <v>186</v>
      </c>
      <c r="E11" s="199" t="s">
        <v>54</v>
      </c>
      <c r="F11" s="200">
        <v>15</v>
      </c>
      <c r="G11" s="193">
        <v>138.10599999999999</v>
      </c>
      <c r="H11" s="115">
        <f t="shared" si="0"/>
        <v>2071.59</v>
      </c>
      <c r="I11" s="150">
        <v>0</v>
      </c>
      <c r="J11" s="150">
        <f t="shared" si="1"/>
        <v>0</v>
      </c>
      <c r="K11" s="150">
        <f t="shared" si="2"/>
        <v>0</v>
      </c>
      <c r="L11" s="115">
        <f t="shared" si="6"/>
        <v>2071.59</v>
      </c>
      <c r="M11" s="119"/>
      <c r="N11" s="82"/>
    </row>
    <row r="12" spans="1:14" s="81" customFormat="1" ht="30" customHeight="1" x14ac:dyDescent="0.2">
      <c r="A12" s="5"/>
      <c r="B12" s="198">
        <v>5</v>
      </c>
      <c r="C12" s="208" t="s">
        <v>340</v>
      </c>
      <c r="D12" s="199" t="s">
        <v>158</v>
      </c>
      <c r="E12" s="199" t="s">
        <v>41</v>
      </c>
      <c r="F12" s="200">
        <v>15</v>
      </c>
      <c r="G12" s="193">
        <v>197.13300000000001</v>
      </c>
      <c r="H12" s="115">
        <f t="shared" si="0"/>
        <v>2957</v>
      </c>
      <c r="I12" s="150">
        <v>0</v>
      </c>
      <c r="J12" s="150">
        <f t="shared" si="1"/>
        <v>0</v>
      </c>
      <c r="K12" s="150">
        <f t="shared" si="2"/>
        <v>0</v>
      </c>
      <c r="L12" s="115">
        <f t="shared" si="6"/>
        <v>2957</v>
      </c>
      <c r="M12" s="119"/>
      <c r="N12" s="82"/>
    </row>
    <row r="13" spans="1:14" s="81" customFormat="1" ht="30" customHeight="1" x14ac:dyDescent="0.2">
      <c r="A13" s="5"/>
      <c r="B13" s="198">
        <v>6</v>
      </c>
      <c r="C13" s="208" t="s">
        <v>340</v>
      </c>
      <c r="D13" s="199" t="s">
        <v>461</v>
      </c>
      <c r="E13" s="199" t="s">
        <v>462</v>
      </c>
      <c r="F13" s="200">
        <v>15</v>
      </c>
      <c r="G13" s="193">
        <v>138.10599999999999</v>
      </c>
      <c r="H13" s="115">
        <v>2071.59</v>
      </c>
      <c r="I13" s="150">
        <v>0</v>
      </c>
      <c r="J13" s="150">
        <v>0</v>
      </c>
      <c r="K13" s="150">
        <v>0</v>
      </c>
      <c r="L13" s="115">
        <f t="shared" si="6"/>
        <v>2071.59</v>
      </c>
      <c r="M13" s="119"/>
      <c r="N13" s="82"/>
    </row>
    <row r="14" spans="1:14" s="81" customFormat="1" ht="30" customHeight="1" x14ac:dyDescent="0.2">
      <c r="A14" s="5"/>
      <c r="B14" s="198">
        <v>7</v>
      </c>
      <c r="C14" s="208" t="s">
        <v>340</v>
      </c>
      <c r="D14" s="199" t="s">
        <v>187</v>
      </c>
      <c r="E14" s="199" t="s">
        <v>42</v>
      </c>
      <c r="F14" s="200">
        <v>15</v>
      </c>
      <c r="G14" s="193">
        <v>194.13300000000001</v>
      </c>
      <c r="H14" s="115">
        <f t="shared" si="0"/>
        <v>2912</v>
      </c>
      <c r="I14" s="150">
        <v>0</v>
      </c>
      <c r="J14" s="150">
        <f t="shared" si="1"/>
        <v>0</v>
      </c>
      <c r="K14" s="150">
        <f t="shared" si="2"/>
        <v>0</v>
      </c>
      <c r="L14" s="115">
        <f t="shared" si="6"/>
        <v>2912</v>
      </c>
      <c r="M14" s="119"/>
      <c r="N14" s="82"/>
    </row>
    <row r="15" spans="1:14" s="81" customFormat="1" ht="30" customHeight="1" x14ac:dyDescent="0.2">
      <c r="A15" s="5"/>
      <c r="B15" s="198">
        <v>8</v>
      </c>
      <c r="C15" s="208" t="s">
        <v>340</v>
      </c>
      <c r="D15" s="199" t="s">
        <v>257</v>
      </c>
      <c r="E15" s="199" t="s">
        <v>42</v>
      </c>
      <c r="F15" s="200">
        <v>15</v>
      </c>
      <c r="G15" s="193">
        <v>193</v>
      </c>
      <c r="H15" s="115">
        <f t="shared" si="0"/>
        <v>2895</v>
      </c>
      <c r="I15" s="150">
        <v>0</v>
      </c>
      <c r="J15" s="150">
        <f t="shared" si="1"/>
        <v>0</v>
      </c>
      <c r="K15" s="150">
        <f t="shared" si="2"/>
        <v>0</v>
      </c>
      <c r="L15" s="115">
        <f t="shared" si="6"/>
        <v>2895</v>
      </c>
      <c r="M15" s="119"/>
      <c r="N15" s="82"/>
    </row>
    <row r="16" spans="1:14" s="309" customFormat="1" ht="41.1" customHeight="1" x14ac:dyDescent="0.2">
      <c r="A16" s="28"/>
      <c r="B16" s="198">
        <v>9</v>
      </c>
      <c r="C16" s="208"/>
      <c r="D16" s="199" t="s">
        <v>374</v>
      </c>
      <c r="E16" s="209" t="s">
        <v>263</v>
      </c>
      <c r="F16" s="200">
        <v>15</v>
      </c>
      <c r="G16" s="193">
        <v>315.13299999999998</v>
      </c>
      <c r="H16" s="115">
        <f t="shared" si="0"/>
        <v>4727</v>
      </c>
      <c r="I16" s="150">
        <v>0</v>
      </c>
      <c r="J16" s="115">
        <f t="shared" si="1"/>
        <v>357.83</v>
      </c>
      <c r="K16" s="115">
        <f>J16</f>
        <v>357.83</v>
      </c>
      <c r="L16" s="115">
        <f t="shared" si="6"/>
        <v>4369.17</v>
      </c>
      <c r="M16" s="119"/>
      <c r="N16" s="82"/>
    </row>
    <row r="17" spans="1:14" s="309" customFormat="1" ht="30" customHeight="1" x14ac:dyDescent="0.2">
      <c r="A17" s="28"/>
      <c r="B17" s="198"/>
      <c r="C17" s="208"/>
      <c r="D17" s="199"/>
      <c r="E17" s="210" t="s">
        <v>33</v>
      </c>
      <c r="F17" s="400"/>
      <c r="G17" s="401"/>
      <c r="H17" s="116">
        <f>SUM(H8:H16)</f>
        <v>31511.18</v>
      </c>
      <c r="I17" s="151">
        <f t="shared" ref="I17:M17" si="7">SUM(I8:I16)</f>
        <v>0</v>
      </c>
      <c r="J17" s="116">
        <f t="shared" si="7"/>
        <v>1030.08</v>
      </c>
      <c r="K17" s="116">
        <f t="shared" si="7"/>
        <v>1030.08</v>
      </c>
      <c r="L17" s="116">
        <f t="shared" si="7"/>
        <v>30481.1</v>
      </c>
      <c r="M17" s="120">
        <f t="shared" si="7"/>
        <v>0</v>
      </c>
      <c r="N17" s="82"/>
    </row>
    <row r="18" spans="1:14" ht="30" customHeight="1" x14ac:dyDescent="0.2">
      <c r="B18" s="402" t="s">
        <v>88</v>
      </c>
      <c r="C18" s="403"/>
      <c r="D18" s="404"/>
      <c r="E18" s="404"/>
      <c r="F18" s="404"/>
      <c r="G18" s="404"/>
      <c r="H18" s="404"/>
      <c r="I18" s="404"/>
      <c r="J18" s="404"/>
      <c r="K18" s="404"/>
      <c r="L18" s="404"/>
      <c r="M18" s="405"/>
      <c r="N18" s="47"/>
    </row>
    <row r="19" spans="1:14" ht="30" customHeight="1" x14ac:dyDescent="0.2">
      <c r="B19" s="198">
        <v>10</v>
      </c>
      <c r="C19" s="208"/>
      <c r="D19" s="199" t="s">
        <v>188</v>
      </c>
      <c r="E19" s="199" t="s">
        <v>89</v>
      </c>
      <c r="F19" s="200">
        <v>15</v>
      </c>
      <c r="G19" s="211">
        <v>573.46640000000002</v>
      </c>
      <c r="H19" s="115">
        <f>ROUND(F19*G19,2)</f>
        <v>8602</v>
      </c>
      <c r="I19" s="150">
        <v>0</v>
      </c>
      <c r="J19" s="115">
        <f>IF(G19&lt;=248.93,0,(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))</f>
        <v>1014.36</v>
      </c>
      <c r="K19" s="115">
        <f>J19</f>
        <v>1014.36</v>
      </c>
      <c r="L19" s="115">
        <f>H19+I19-K19</f>
        <v>7587.64</v>
      </c>
      <c r="M19" s="121"/>
      <c r="N19" s="47"/>
    </row>
    <row r="20" spans="1:14" ht="30" customHeight="1" x14ac:dyDescent="0.2">
      <c r="B20" s="198"/>
      <c r="C20" s="208"/>
      <c r="D20" s="199"/>
      <c r="E20" s="210" t="s">
        <v>33</v>
      </c>
      <c r="F20" s="400"/>
      <c r="G20" s="401"/>
      <c r="H20" s="116">
        <f>+H19</f>
        <v>8602</v>
      </c>
      <c r="I20" s="151">
        <f t="shared" ref="I20:M20" si="8">+I19</f>
        <v>0</v>
      </c>
      <c r="J20" s="116">
        <f t="shared" si="8"/>
        <v>1014.36</v>
      </c>
      <c r="K20" s="116">
        <f t="shared" si="8"/>
        <v>1014.36</v>
      </c>
      <c r="L20" s="116">
        <f t="shared" si="8"/>
        <v>7587.64</v>
      </c>
      <c r="M20" s="120">
        <f t="shared" si="8"/>
        <v>0</v>
      </c>
      <c r="N20" s="47"/>
    </row>
    <row r="21" spans="1:14" s="309" customFormat="1" ht="30" customHeight="1" x14ac:dyDescent="0.2">
      <c r="A21" s="28"/>
      <c r="B21" s="402" t="s">
        <v>34</v>
      </c>
      <c r="C21" s="403"/>
      <c r="D21" s="404"/>
      <c r="E21" s="404"/>
      <c r="F21" s="404"/>
      <c r="G21" s="404"/>
      <c r="H21" s="404"/>
      <c r="I21" s="404"/>
      <c r="J21" s="404"/>
      <c r="K21" s="404"/>
      <c r="L21" s="404"/>
      <c r="M21" s="405"/>
      <c r="N21" s="82"/>
    </row>
    <row r="22" spans="1:14" s="309" customFormat="1" ht="30" customHeight="1" x14ac:dyDescent="0.2">
      <c r="A22" s="28"/>
      <c r="B22" s="198">
        <v>11</v>
      </c>
      <c r="C22" s="208"/>
      <c r="D22" s="199" t="s">
        <v>189</v>
      </c>
      <c r="E22" s="199" t="s">
        <v>119</v>
      </c>
      <c r="F22" s="200">
        <v>15</v>
      </c>
      <c r="G22" s="211">
        <v>281.93299999999999</v>
      </c>
      <c r="H22" s="115">
        <f>ROUND(F22*G22,2)</f>
        <v>4229</v>
      </c>
      <c r="I22" s="150">
        <v>0</v>
      </c>
      <c r="J22" s="115">
        <f>IF(G22&lt;=248.93,0,(IFERROR(IF(ROUND((((H22/F22*30.4)-VLOOKUP((H22/F22*30.4),TARIFA,1))*VLOOKUP((H22/F22*30.4),TARIFA,3)+VLOOKUP((H22/F22*30.4),TARIFA,2)-VLOOKUP((H22/F22*30.4),SUBSIDIO,2))/30.4*F22,2)&gt;0,ROUND((((H22/F22*30.4)-VLOOKUP((H22/F22*30.4),TARIFA,1))*VLOOKUP((H22/F22*30.4),TARIFA,3)+VLOOKUP((H22/F22*30.4),TARIFA,2)-VLOOKUP((H22/F22*30.4),SUBSIDIO,2))/30.4*F22,2),0),0)))</f>
        <v>111.22</v>
      </c>
      <c r="K22" s="115">
        <f>J22</f>
        <v>111.22</v>
      </c>
      <c r="L22" s="115">
        <f>H22+I22-K22</f>
        <v>4117.78</v>
      </c>
      <c r="M22" s="119"/>
      <c r="N22" s="82"/>
    </row>
    <row r="23" spans="1:14" s="310" customFormat="1" ht="30" customHeight="1" x14ac:dyDescent="0.2">
      <c r="A23" s="26"/>
      <c r="B23" s="198">
        <v>12</v>
      </c>
      <c r="C23" s="208" t="s">
        <v>340</v>
      </c>
      <c r="D23" s="199" t="s">
        <v>190</v>
      </c>
      <c r="E23" s="199" t="s">
        <v>120</v>
      </c>
      <c r="F23" s="200">
        <v>15</v>
      </c>
      <c r="G23" s="211">
        <v>281.93299999999999</v>
      </c>
      <c r="H23" s="115">
        <f>ROUND(F23*G23,2)</f>
        <v>4229</v>
      </c>
      <c r="I23" s="150">
        <v>0</v>
      </c>
      <c r="J23" s="115">
        <f>IF(G23&lt;=248.93,0,(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))</f>
        <v>111.22</v>
      </c>
      <c r="K23" s="115">
        <f>J23</f>
        <v>111.22</v>
      </c>
      <c r="L23" s="115">
        <f>H23+I23-K23</f>
        <v>4117.78</v>
      </c>
      <c r="M23" s="119"/>
      <c r="N23" s="83"/>
    </row>
    <row r="24" spans="1:14" s="310" customFormat="1" ht="30" customHeight="1" x14ac:dyDescent="0.2">
      <c r="A24" s="26"/>
      <c r="B24" s="198">
        <v>13</v>
      </c>
      <c r="C24" s="208"/>
      <c r="D24" s="199" t="s">
        <v>264</v>
      </c>
      <c r="E24" s="199" t="s">
        <v>153</v>
      </c>
      <c r="F24" s="200">
        <v>15</v>
      </c>
      <c r="G24" s="211">
        <v>315.13299999999998</v>
      </c>
      <c r="H24" s="115">
        <f>ROUND(F24*G24,2)</f>
        <v>4727</v>
      </c>
      <c r="I24" s="150">
        <v>0</v>
      </c>
      <c r="J24" s="115">
        <f>IF(G24&lt;=248.93,0,(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))</f>
        <v>357.83</v>
      </c>
      <c r="K24" s="115">
        <f>J24</f>
        <v>357.83</v>
      </c>
      <c r="L24" s="115">
        <f>H24+I24-K24</f>
        <v>4369.17</v>
      </c>
      <c r="M24" s="119"/>
      <c r="N24" s="83"/>
    </row>
    <row r="25" spans="1:14" s="310" customFormat="1" ht="30" customHeight="1" x14ac:dyDescent="0.2">
      <c r="A25" s="26"/>
      <c r="B25" s="198">
        <v>14</v>
      </c>
      <c r="C25" s="208"/>
      <c r="D25" s="199" t="s">
        <v>344</v>
      </c>
      <c r="E25" s="199" t="s">
        <v>42</v>
      </c>
      <c r="F25" s="200">
        <v>15</v>
      </c>
      <c r="G25" s="211">
        <v>281.93299999999999</v>
      </c>
      <c r="H25" s="115">
        <f>ROUND(F25*G25,2)</f>
        <v>4229</v>
      </c>
      <c r="I25" s="150">
        <v>0</v>
      </c>
      <c r="J25" s="115">
        <f>IF(G25&lt;=248.93,0,(IFERROR(IF(ROUND((((H25/F25*30.4)-VLOOKUP((H25/F25*30.4),TARIFA,1))*VLOOKUP((H25/F25*30.4),TARIFA,3)+VLOOKUP((H25/F25*30.4),TARIFA,2)-VLOOKUP((H25/F25*30.4),SUBSIDIO,2))/30.4*F25,2)&gt;0,ROUND((((H25/F25*30.4)-VLOOKUP((H25/F25*30.4),TARIFA,1))*VLOOKUP((H25/F25*30.4),TARIFA,3)+VLOOKUP((H25/F25*30.4),TARIFA,2)-VLOOKUP((H25/F25*30.4),SUBSIDIO,2))/30.4*F25,2),0),0)))</f>
        <v>111.22</v>
      </c>
      <c r="K25" s="115">
        <f>J25</f>
        <v>111.22</v>
      </c>
      <c r="L25" s="115">
        <f>H25+I25-K25</f>
        <v>4117.78</v>
      </c>
      <c r="M25" s="119"/>
      <c r="N25" s="83"/>
    </row>
    <row r="26" spans="1:14" s="309" customFormat="1" ht="30" customHeight="1" x14ac:dyDescent="0.2">
      <c r="A26" s="28"/>
      <c r="B26" s="212"/>
      <c r="C26" s="213"/>
      <c r="D26" s="214"/>
      <c r="E26" s="210" t="s">
        <v>33</v>
      </c>
      <c r="F26" s="400"/>
      <c r="G26" s="401"/>
      <c r="H26" s="116">
        <f>SUM(H22:H25)</f>
        <v>17414</v>
      </c>
      <c r="I26" s="151">
        <f>SUM(I22:I25)</f>
        <v>0</v>
      </c>
      <c r="J26" s="116">
        <f>SUM(J22:J25)</f>
        <v>691.49</v>
      </c>
      <c r="K26" s="116">
        <f>SUM(K22:K25)</f>
        <v>691.49</v>
      </c>
      <c r="L26" s="116">
        <f>SUM(L22:L25)</f>
        <v>16722.509999999998</v>
      </c>
      <c r="M26" s="120">
        <f>SUM(M22:M24)</f>
        <v>0</v>
      </c>
      <c r="N26" s="82"/>
    </row>
    <row r="27" spans="1:14" ht="30" customHeight="1" x14ac:dyDescent="0.2">
      <c r="B27" s="402" t="s">
        <v>36</v>
      </c>
      <c r="C27" s="403"/>
      <c r="D27" s="404"/>
      <c r="E27" s="404"/>
      <c r="F27" s="404"/>
      <c r="G27" s="404"/>
      <c r="H27" s="404"/>
      <c r="I27" s="404"/>
      <c r="J27" s="404"/>
      <c r="K27" s="404"/>
      <c r="L27" s="404"/>
      <c r="M27" s="405"/>
      <c r="N27" s="47"/>
    </row>
    <row r="28" spans="1:14" ht="30" customHeight="1" x14ac:dyDescent="0.2">
      <c r="B28" s="198">
        <v>15</v>
      </c>
      <c r="C28" s="208" t="s">
        <v>340</v>
      </c>
      <c r="D28" s="199" t="s">
        <v>191</v>
      </c>
      <c r="E28" s="199" t="s">
        <v>61</v>
      </c>
      <c r="F28" s="200">
        <v>15</v>
      </c>
      <c r="G28" s="193">
        <v>295.733</v>
      </c>
      <c r="H28" s="115">
        <f t="shared" ref="H28:H31" si="9">ROUND(F28*G28,2)</f>
        <v>4436</v>
      </c>
      <c r="I28" s="150">
        <v>0</v>
      </c>
      <c r="J28" s="115">
        <f t="shared" ref="J28:J32" si="10">IF(G28&lt;=248.93,0,(IFERROR(IF(ROUND((((H28/F28*30.4)-VLOOKUP((H28/F28*30.4),TARIFA,1))*VLOOKUP((H28/F28*30.4),TARIFA,3)+VLOOKUP((H28/F28*30.4),TARIFA,2)-VLOOKUP((H28/F28*30.4),SUBSIDIO,2))/30.4*F28,2)&gt;0,ROUND((((H28/F28*30.4)-VLOOKUP((H28/F28*30.4),TARIFA,1))*VLOOKUP((H28/F28*30.4),TARIFA,3)+VLOOKUP((H28/F28*30.4),TARIFA,2)-VLOOKUP((H28/F28*30.4),SUBSIDIO,2))/30.4*F28,2),0),0)))</f>
        <v>133.74</v>
      </c>
      <c r="K28" s="115">
        <f t="shared" ref="K28:K32" si="11">J28</f>
        <v>133.74</v>
      </c>
      <c r="L28" s="115">
        <f t="shared" ref="L28:L30" si="12">H28+I28-K28</f>
        <v>4302.26</v>
      </c>
      <c r="M28" s="119"/>
      <c r="N28" s="47"/>
    </row>
    <row r="29" spans="1:14" ht="30" customHeight="1" x14ac:dyDescent="0.2">
      <c r="B29" s="198">
        <v>16</v>
      </c>
      <c r="C29" s="208" t="s">
        <v>340</v>
      </c>
      <c r="D29" s="199" t="s">
        <v>192</v>
      </c>
      <c r="E29" s="199" t="s">
        <v>101</v>
      </c>
      <c r="F29" s="200">
        <v>15</v>
      </c>
      <c r="G29" s="193">
        <v>197.2</v>
      </c>
      <c r="H29" s="115">
        <f t="shared" si="9"/>
        <v>2958</v>
      </c>
      <c r="I29" s="150">
        <v>0</v>
      </c>
      <c r="J29" s="150">
        <f t="shared" si="10"/>
        <v>0</v>
      </c>
      <c r="K29" s="150">
        <f t="shared" si="11"/>
        <v>0</v>
      </c>
      <c r="L29" s="115">
        <f t="shared" si="12"/>
        <v>2958</v>
      </c>
      <c r="M29" s="119"/>
      <c r="N29" s="47"/>
    </row>
    <row r="30" spans="1:14" ht="30" customHeight="1" x14ac:dyDescent="0.2">
      <c r="B30" s="198">
        <v>17</v>
      </c>
      <c r="C30" s="208" t="s">
        <v>340</v>
      </c>
      <c r="D30" s="199" t="s">
        <v>193</v>
      </c>
      <c r="E30" s="199" t="s">
        <v>42</v>
      </c>
      <c r="F30" s="200">
        <v>14</v>
      </c>
      <c r="G30" s="193">
        <v>153.333</v>
      </c>
      <c r="H30" s="115">
        <f t="shared" si="9"/>
        <v>2146.66</v>
      </c>
      <c r="I30" s="150">
        <v>0</v>
      </c>
      <c r="J30" s="150">
        <f t="shared" si="10"/>
        <v>0</v>
      </c>
      <c r="K30" s="150">
        <f t="shared" si="11"/>
        <v>0</v>
      </c>
      <c r="L30" s="115">
        <f t="shared" si="12"/>
        <v>2146.66</v>
      </c>
      <c r="M30" s="119"/>
      <c r="N30" s="47"/>
    </row>
    <row r="31" spans="1:14" ht="30" customHeight="1" x14ac:dyDescent="0.2">
      <c r="B31" s="198">
        <v>18</v>
      </c>
      <c r="C31" s="208" t="s">
        <v>340</v>
      </c>
      <c r="D31" s="199" t="s">
        <v>261</v>
      </c>
      <c r="E31" s="199" t="s">
        <v>262</v>
      </c>
      <c r="F31" s="200">
        <v>15</v>
      </c>
      <c r="G31" s="193">
        <v>466.33300000000003</v>
      </c>
      <c r="H31" s="115">
        <f t="shared" si="9"/>
        <v>6995</v>
      </c>
      <c r="I31" s="150">
        <v>0</v>
      </c>
      <c r="J31" s="115">
        <f t="shared" si="10"/>
        <v>693.36</v>
      </c>
      <c r="K31" s="115">
        <f t="shared" si="11"/>
        <v>693.36</v>
      </c>
      <c r="L31" s="115">
        <f>H31+I31-K31</f>
        <v>6301.64</v>
      </c>
      <c r="M31" s="119"/>
      <c r="N31" s="47"/>
    </row>
    <row r="32" spans="1:14" ht="30" customHeight="1" x14ac:dyDescent="0.2">
      <c r="B32" s="198">
        <v>19</v>
      </c>
      <c r="C32" s="208"/>
      <c r="D32" s="199" t="s">
        <v>449</v>
      </c>
      <c r="E32" s="199" t="s">
        <v>42</v>
      </c>
      <c r="F32" s="200">
        <v>15</v>
      </c>
      <c r="G32" s="193">
        <v>223.333</v>
      </c>
      <c r="H32" s="115">
        <f t="shared" ref="H32" si="13">ROUND(F32*G32,2)</f>
        <v>3350</v>
      </c>
      <c r="I32" s="150">
        <v>0</v>
      </c>
      <c r="J32" s="150">
        <f t="shared" si="10"/>
        <v>0</v>
      </c>
      <c r="K32" s="150">
        <f t="shared" si="11"/>
        <v>0</v>
      </c>
      <c r="L32" s="115">
        <f>H32+I32-K32</f>
        <v>3350</v>
      </c>
      <c r="M32" s="119"/>
      <c r="N32" s="47"/>
    </row>
    <row r="33" spans="2:14" ht="30" customHeight="1" x14ac:dyDescent="0.2">
      <c r="B33" s="198"/>
      <c r="C33" s="208"/>
      <c r="D33" s="199"/>
      <c r="E33" s="210" t="s">
        <v>33</v>
      </c>
      <c r="F33" s="400"/>
      <c r="G33" s="401"/>
      <c r="H33" s="116">
        <f>SUM(H28:H32)</f>
        <v>19885.66</v>
      </c>
      <c r="I33" s="151">
        <f>SUM(I28:I32)</f>
        <v>0</v>
      </c>
      <c r="J33" s="116">
        <f>SUM(J28:J32)</f>
        <v>827.1</v>
      </c>
      <c r="K33" s="116">
        <f>SUM(K28:K32)</f>
        <v>827.1</v>
      </c>
      <c r="L33" s="116">
        <f>SUM(L28:L32)</f>
        <v>19058.560000000001</v>
      </c>
      <c r="M33" s="120">
        <f>SUM(M28:M31)</f>
        <v>0</v>
      </c>
      <c r="N33" s="47"/>
    </row>
    <row r="34" spans="2:14" ht="30" customHeight="1" x14ac:dyDescent="0.2">
      <c r="B34" s="402" t="s">
        <v>39</v>
      </c>
      <c r="C34" s="403"/>
      <c r="D34" s="404"/>
      <c r="E34" s="404"/>
      <c r="F34" s="404"/>
      <c r="G34" s="404"/>
      <c r="H34" s="404"/>
      <c r="I34" s="404"/>
      <c r="J34" s="404"/>
      <c r="K34" s="404"/>
      <c r="L34" s="404"/>
      <c r="M34" s="405"/>
      <c r="N34" s="47"/>
    </row>
    <row r="35" spans="2:14" ht="30" customHeight="1" x14ac:dyDescent="0.2">
      <c r="B35" s="198">
        <v>20</v>
      </c>
      <c r="C35" s="208"/>
      <c r="D35" s="199" t="s">
        <v>375</v>
      </c>
      <c r="E35" s="199" t="s">
        <v>42</v>
      </c>
      <c r="F35" s="200">
        <v>15</v>
      </c>
      <c r="G35" s="193">
        <v>111.819</v>
      </c>
      <c r="H35" s="115">
        <f t="shared" ref="H35:H39" si="14">ROUND(F35*G35,2)</f>
        <v>1677.29</v>
      </c>
      <c r="I35" s="150">
        <v>0</v>
      </c>
      <c r="J35" s="150">
        <f t="shared" ref="J35:J39" si="15">IF(G35&lt;=248.93,0,(IFERROR(IF(ROUND((((H35/F35*30.4)-VLOOKUP((H35/F35*30.4),TARIFA,1))*VLOOKUP((H35/F35*30.4),TARIFA,3)+VLOOKUP((H35/F35*30.4),TARIFA,2)-VLOOKUP((H35/F35*30.4),SUBSIDIO,2))/30.4*F35,2)&gt;0,ROUND((((H35/F35*30.4)-VLOOKUP((H35/F35*30.4),TARIFA,1))*VLOOKUP((H35/F35*30.4),TARIFA,3)+VLOOKUP((H35/F35*30.4),TARIFA,2)-VLOOKUP((H35/F35*30.4),SUBSIDIO,2))/30.4*F35,2),0),0)))</f>
        <v>0</v>
      </c>
      <c r="K35" s="150">
        <f t="shared" ref="K35:K39" si="16">J35</f>
        <v>0</v>
      </c>
      <c r="L35" s="115">
        <f t="shared" ref="L35:L39" si="17">H35+I35-K35</f>
        <v>1677.29</v>
      </c>
      <c r="M35" s="119"/>
      <c r="N35" s="47"/>
    </row>
    <row r="36" spans="2:14" ht="30" customHeight="1" x14ac:dyDescent="0.2">
      <c r="B36" s="198">
        <v>21</v>
      </c>
      <c r="C36" s="208" t="s">
        <v>340</v>
      </c>
      <c r="D36" s="199" t="s">
        <v>194</v>
      </c>
      <c r="E36" s="199" t="s">
        <v>42</v>
      </c>
      <c r="F36" s="200">
        <v>15</v>
      </c>
      <c r="G36" s="193">
        <v>130.49299999999999</v>
      </c>
      <c r="H36" s="115">
        <f t="shared" si="14"/>
        <v>1957.4</v>
      </c>
      <c r="I36" s="150">
        <v>0</v>
      </c>
      <c r="J36" s="150">
        <f t="shared" si="15"/>
        <v>0</v>
      </c>
      <c r="K36" s="150">
        <f t="shared" si="16"/>
        <v>0</v>
      </c>
      <c r="L36" s="115">
        <f t="shared" si="17"/>
        <v>1957.4</v>
      </c>
      <c r="M36" s="119"/>
      <c r="N36" s="47"/>
    </row>
    <row r="37" spans="2:14" ht="30" customHeight="1" x14ac:dyDescent="0.2">
      <c r="B37" s="198">
        <v>22</v>
      </c>
      <c r="C37" s="208" t="s">
        <v>340</v>
      </c>
      <c r="D37" s="199" t="s">
        <v>195</v>
      </c>
      <c r="E37" s="199" t="s">
        <v>54</v>
      </c>
      <c r="F37" s="200">
        <v>15</v>
      </c>
      <c r="G37" s="193">
        <v>154.52440000000001</v>
      </c>
      <c r="H37" s="115">
        <f t="shared" si="14"/>
        <v>2317.87</v>
      </c>
      <c r="I37" s="150">
        <v>0</v>
      </c>
      <c r="J37" s="150">
        <f t="shared" si="15"/>
        <v>0</v>
      </c>
      <c r="K37" s="150">
        <f t="shared" si="16"/>
        <v>0</v>
      </c>
      <c r="L37" s="115">
        <f t="shared" si="17"/>
        <v>2317.87</v>
      </c>
      <c r="M37" s="119"/>
      <c r="N37" s="47"/>
    </row>
    <row r="38" spans="2:14" ht="30" customHeight="1" x14ac:dyDescent="0.2">
      <c r="B38" s="198">
        <v>23</v>
      </c>
      <c r="C38" s="208"/>
      <c r="D38" s="199" t="s">
        <v>269</v>
      </c>
      <c r="E38" s="199" t="s">
        <v>270</v>
      </c>
      <c r="F38" s="200">
        <v>15</v>
      </c>
      <c r="G38" s="193">
        <v>170.73330000000001</v>
      </c>
      <c r="H38" s="115">
        <f t="shared" si="14"/>
        <v>2561</v>
      </c>
      <c r="I38" s="150">
        <v>0</v>
      </c>
      <c r="J38" s="150">
        <f t="shared" si="15"/>
        <v>0</v>
      </c>
      <c r="K38" s="150">
        <f t="shared" si="16"/>
        <v>0</v>
      </c>
      <c r="L38" s="115">
        <f t="shared" si="17"/>
        <v>2561</v>
      </c>
      <c r="M38" s="119"/>
      <c r="N38" s="47"/>
    </row>
    <row r="39" spans="2:14" ht="30" customHeight="1" x14ac:dyDescent="0.2">
      <c r="B39" s="198">
        <v>24</v>
      </c>
      <c r="C39" s="208" t="s">
        <v>340</v>
      </c>
      <c r="D39" s="199" t="s">
        <v>440</v>
      </c>
      <c r="E39" s="199" t="s">
        <v>270</v>
      </c>
      <c r="F39" s="200">
        <v>15</v>
      </c>
      <c r="G39" s="193">
        <v>186.26650000000001</v>
      </c>
      <c r="H39" s="115">
        <f t="shared" si="14"/>
        <v>2794</v>
      </c>
      <c r="I39" s="150">
        <v>0</v>
      </c>
      <c r="J39" s="150">
        <f t="shared" si="15"/>
        <v>0</v>
      </c>
      <c r="K39" s="150">
        <f t="shared" si="16"/>
        <v>0</v>
      </c>
      <c r="L39" s="115">
        <f t="shared" si="17"/>
        <v>2794</v>
      </c>
      <c r="M39" s="119"/>
      <c r="N39" s="47"/>
    </row>
    <row r="40" spans="2:14" ht="30" customHeight="1" x14ac:dyDescent="0.2">
      <c r="B40" s="198">
        <v>25</v>
      </c>
      <c r="C40" s="208" t="s">
        <v>340</v>
      </c>
      <c r="D40" s="199" t="s">
        <v>450</v>
      </c>
      <c r="E40" s="199" t="s">
        <v>270</v>
      </c>
      <c r="F40" s="200">
        <v>15</v>
      </c>
      <c r="G40" s="193">
        <v>180</v>
      </c>
      <c r="H40" s="115">
        <f t="shared" ref="H40" si="18">ROUND(F40*G40,2)</f>
        <v>2700</v>
      </c>
      <c r="I40" s="150">
        <v>0</v>
      </c>
      <c r="J40" s="150">
        <f t="shared" ref="J40" si="19">IF(G40&lt;=248.93,0,(IFERROR(IF(ROUND((((H40/F40*30.4)-VLOOKUP((H40/F40*30.4),TARIFA,1))*VLOOKUP((H40/F40*30.4),TARIFA,3)+VLOOKUP((H40/F40*30.4),TARIFA,2)-VLOOKUP((H40/F40*30.4),SUBSIDIO,2))/30.4*F40,2)&gt;0,ROUND((((H40/F40*30.4)-VLOOKUP((H40/F40*30.4),TARIFA,1))*VLOOKUP((H40/F40*30.4),TARIFA,3)+VLOOKUP((H40/F40*30.4),TARIFA,2)-VLOOKUP((H40/F40*30.4),SUBSIDIO,2))/30.4*F40,2),0),0)))</f>
        <v>0</v>
      </c>
      <c r="K40" s="150">
        <f t="shared" ref="K40" si="20">J40</f>
        <v>0</v>
      </c>
      <c r="L40" s="115">
        <f t="shared" ref="L40" si="21">H40+I40-K40</f>
        <v>2700</v>
      </c>
      <c r="M40" s="119"/>
      <c r="N40" s="47"/>
    </row>
    <row r="41" spans="2:14" ht="30" customHeight="1" x14ac:dyDescent="0.2">
      <c r="B41" s="198">
        <v>26</v>
      </c>
      <c r="C41" s="208" t="s">
        <v>340</v>
      </c>
      <c r="D41" s="199" t="s">
        <v>458</v>
      </c>
      <c r="E41" s="199" t="s">
        <v>459</v>
      </c>
      <c r="F41" s="200">
        <v>15</v>
      </c>
      <c r="G41" s="193">
        <v>193.333</v>
      </c>
      <c r="H41" s="115">
        <f t="shared" ref="H41" si="22">ROUND(F41*G41,2)</f>
        <v>2900</v>
      </c>
      <c r="I41" s="150">
        <v>0</v>
      </c>
      <c r="J41" s="150">
        <f t="shared" ref="J41" si="23">IF(G41&lt;=248.93,0,(IFERROR(IF(ROUND((((H41/F41*30.4)-VLOOKUP((H41/F41*30.4),TARIFA,1))*VLOOKUP((H41/F41*30.4),TARIFA,3)+VLOOKUP((H41/F41*30.4),TARIFA,2)-VLOOKUP((H41/F41*30.4),SUBSIDIO,2))/30.4*F41,2)&gt;0,ROUND((((H41/F41*30.4)-VLOOKUP((H41/F41*30.4),TARIFA,1))*VLOOKUP((H41/F41*30.4),TARIFA,3)+VLOOKUP((H41/F41*30.4),TARIFA,2)-VLOOKUP((H41/F41*30.4),SUBSIDIO,2))/30.4*F41,2),0),0)))</f>
        <v>0</v>
      </c>
      <c r="K41" s="150">
        <f t="shared" ref="K41" si="24">J41</f>
        <v>0</v>
      </c>
      <c r="L41" s="115">
        <f t="shared" ref="L41" si="25">H41+I41-K41</f>
        <v>2900</v>
      </c>
      <c r="M41" s="119"/>
      <c r="N41" s="47"/>
    </row>
    <row r="42" spans="2:14" ht="30" customHeight="1" x14ac:dyDescent="0.2">
      <c r="B42" s="198"/>
      <c r="C42" s="208"/>
      <c r="D42" s="199"/>
      <c r="E42" s="210" t="s">
        <v>33</v>
      </c>
      <c r="F42" s="400"/>
      <c r="G42" s="401"/>
      <c r="H42" s="116">
        <f>SUM(H35:H41)</f>
        <v>16907.559999999998</v>
      </c>
      <c r="I42" s="151">
        <f t="shared" ref="I42:L42" si="26">SUM(I35:I41)</f>
        <v>0</v>
      </c>
      <c r="J42" s="151">
        <f t="shared" si="26"/>
        <v>0</v>
      </c>
      <c r="K42" s="151">
        <f t="shared" si="26"/>
        <v>0</v>
      </c>
      <c r="L42" s="116">
        <f t="shared" si="26"/>
        <v>16907.559999999998</v>
      </c>
      <c r="M42" s="120">
        <f>SUM(M35:M38)</f>
        <v>0</v>
      </c>
      <c r="N42" s="47"/>
    </row>
    <row r="43" spans="2:14" ht="30" customHeight="1" x14ac:dyDescent="0.2">
      <c r="B43" s="402" t="s">
        <v>43</v>
      </c>
      <c r="C43" s="403"/>
      <c r="D43" s="404"/>
      <c r="E43" s="404"/>
      <c r="F43" s="404"/>
      <c r="G43" s="404"/>
      <c r="H43" s="404"/>
      <c r="I43" s="404"/>
      <c r="J43" s="404"/>
      <c r="K43" s="404"/>
      <c r="L43" s="404"/>
      <c r="M43" s="405"/>
      <c r="N43" s="47"/>
    </row>
    <row r="44" spans="2:14" ht="30" customHeight="1" x14ac:dyDescent="0.2">
      <c r="B44" s="198">
        <v>27</v>
      </c>
      <c r="C44" s="208" t="s">
        <v>340</v>
      </c>
      <c r="D44" s="199" t="s">
        <v>196</v>
      </c>
      <c r="E44" s="199" t="s">
        <v>62</v>
      </c>
      <c r="F44" s="200">
        <v>15</v>
      </c>
      <c r="G44" s="193">
        <v>133.613</v>
      </c>
      <c r="H44" s="115">
        <f>ROUND(F44*G44,2)</f>
        <v>2004.2</v>
      </c>
      <c r="I44" s="150">
        <v>0</v>
      </c>
      <c r="J44" s="150">
        <f t="shared" ref="J44:J57" si="27">IF(G44&lt;=248.93,0,(IFERROR(IF(ROUND((((H44/F44*30.4)-VLOOKUP((H44/F44*30.4),TARIFA,1))*VLOOKUP((H44/F44*30.4),TARIFA,3)+VLOOKUP((H44/F44*30.4),TARIFA,2)-VLOOKUP((H44/F44*30.4),SUBSIDIO,2))/30.4*F44,2)&gt;0,ROUND((((H44/F44*30.4)-VLOOKUP((H44/F44*30.4),TARIFA,1))*VLOOKUP((H44/F44*30.4),TARIFA,3)+VLOOKUP((H44/F44*30.4),TARIFA,2)-VLOOKUP((H44/F44*30.4),SUBSIDIO,2))/30.4*F44,2),0),0)))</f>
        <v>0</v>
      </c>
      <c r="K44" s="150">
        <f t="shared" ref="K44:K55" si="28">J44</f>
        <v>0</v>
      </c>
      <c r="L44" s="115">
        <f t="shared" ref="L44:L55" si="29">H44+I44-K44</f>
        <v>2004.2</v>
      </c>
      <c r="M44" s="119"/>
      <c r="N44" s="47"/>
    </row>
    <row r="45" spans="2:14" ht="30" customHeight="1" x14ac:dyDescent="0.2">
      <c r="B45" s="198">
        <v>28</v>
      </c>
      <c r="C45" s="208" t="s">
        <v>340</v>
      </c>
      <c r="D45" s="199" t="s">
        <v>197</v>
      </c>
      <c r="E45" s="199" t="s">
        <v>63</v>
      </c>
      <c r="F45" s="200">
        <v>15</v>
      </c>
      <c r="G45" s="193">
        <v>162.04499999999999</v>
      </c>
      <c r="H45" s="115">
        <f t="shared" ref="H45:H50" si="30">ROUND(F45*G45,2)</f>
        <v>2430.6799999999998</v>
      </c>
      <c r="I45" s="150">
        <v>0</v>
      </c>
      <c r="J45" s="150">
        <f t="shared" si="27"/>
        <v>0</v>
      </c>
      <c r="K45" s="150">
        <f t="shared" si="28"/>
        <v>0</v>
      </c>
      <c r="L45" s="115">
        <f t="shared" si="29"/>
        <v>2430.6799999999998</v>
      </c>
      <c r="M45" s="119"/>
      <c r="N45" s="47"/>
    </row>
    <row r="46" spans="2:14" ht="30" customHeight="1" x14ac:dyDescent="0.2">
      <c r="B46" s="198">
        <v>29</v>
      </c>
      <c r="C46" s="208" t="s">
        <v>340</v>
      </c>
      <c r="D46" s="199" t="s">
        <v>198</v>
      </c>
      <c r="E46" s="199" t="s">
        <v>56</v>
      </c>
      <c r="F46" s="200">
        <v>15</v>
      </c>
      <c r="G46" s="193">
        <v>220.8</v>
      </c>
      <c r="H46" s="115">
        <f t="shared" si="30"/>
        <v>3312</v>
      </c>
      <c r="I46" s="150">
        <v>0</v>
      </c>
      <c r="J46" s="150">
        <f t="shared" si="27"/>
        <v>0</v>
      </c>
      <c r="K46" s="150">
        <f t="shared" si="28"/>
        <v>0</v>
      </c>
      <c r="L46" s="115">
        <f t="shared" si="29"/>
        <v>3312</v>
      </c>
      <c r="M46" s="119"/>
      <c r="N46" s="47"/>
    </row>
    <row r="47" spans="2:14" ht="30" customHeight="1" x14ac:dyDescent="0.2">
      <c r="B47" s="198">
        <v>30</v>
      </c>
      <c r="C47" s="208" t="s">
        <v>340</v>
      </c>
      <c r="D47" s="199" t="s">
        <v>260</v>
      </c>
      <c r="E47" s="199" t="s">
        <v>69</v>
      </c>
      <c r="F47" s="200">
        <v>15</v>
      </c>
      <c r="G47" s="193">
        <v>137.482</v>
      </c>
      <c r="H47" s="115">
        <f t="shared" si="30"/>
        <v>2062.23</v>
      </c>
      <c r="I47" s="150">
        <v>0</v>
      </c>
      <c r="J47" s="150">
        <f t="shared" si="27"/>
        <v>0</v>
      </c>
      <c r="K47" s="150">
        <f t="shared" si="28"/>
        <v>0</v>
      </c>
      <c r="L47" s="115">
        <f t="shared" si="29"/>
        <v>2062.23</v>
      </c>
      <c r="M47" s="119"/>
      <c r="N47" s="47"/>
    </row>
    <row r="48" spans="2:14" ht="30" customHeight="1" x14ac:dyDescent="0.2">
      <c r="B48" s="198">
        <v>31</v>
      </c>
      <c r="C48" s="208" t="s">
        <v>340</v>
      </c>
      <c r="D48" s="199" t="s">
        <v>342</v>
      </c>
      <c r="E48" s="199" t="s">
        <v>69</v>
      </c>
      <c r="F48" s="200">
        <v>15</v>
      </c>
      <c r="G48" s="193">
        <v>151.03</v>
      </c>
      <c r="H48" s="115">
        <f>ROUND(F48*G48,2)</f>
        <v>2265.4499999999998</v>
      </c>
      <c r="I48" s="150">
        <v>0</v>
      </c>
      <c r="J48" s="150">
        <f t="shared" si="27"/>
        <v>0</v>
      </c>
      <c r="K48" s="150">
        <f t="shared" si="28"/>
        <v>0</v>
      </c>
      <c r="L48" s="115">
        <f>H48+I48-K48</f>
        <v>2265.4499999999998</v>
      </c>
      <c r="M48" s="119"/>
      <c r="N48" s="47"/>
    </row>
    <row r="49" spans="1:14" ht="30" customHeight="1" x14ac:dyDescent="0.2">
      <c r="B49" s="198">
        <v>32</v>
      </c>
      <c r="C49" s="208" t="s">
        <v>340</v>
      </c>
      <c r="D49" s="199" t="s">
        <v>466</v>
      </c>
      <c r="E49" s="199" t="s">
        <v>108</v>
      </c>
      <c r="F49" s="200">
        <v>15</v>
      </c>
      <c r="G49" s="193">
        <v>92.356999999999999</v>
      </c>
      <c r="H49" s="115">
        <f t="shared" ref="H49" si="31">ROUND(F49*G49,2)</f>
        <v>1385.36</v>
      </c>
      <c r="I49" s="150">
        <v>0</v>
      </c>
      <c r="J49" s="150">
        <f t="shared" ref="J49" si="32">IF(G49&lt;=248.93,0,(IFERROR(IF(ROUND((((H49/F49*30.4)-VLOOKUP((H49/F49*30.4),TARIFA,1))*VLOOKUP((H49/F49*30.4),TARIFA,3)+VLOOKUP((H49/F49*30.4),TARIFA,2)-VLOOKUP((H49/F49*30.4),SUBSIDIO,2))/30.4*F49,2)&gt;0,ROUND((((H49/F49*30.4)-VLOOKUP((H49/F49*30.4),TARIFA,1))*VLOOKUP((H49/F49*30.4),TARIFA,3)+VLOOKUP((H49/F49*30.4),TARIFA,2)-VLOOKUP((H49/F49*30.4),SUBSIDIO,2))/30.4*F49,2),0),0)))</f>
        <v>0</v>
      </c>
      <c r="K49" s="150">
        <f t="shared" ref="K49" si="33">J49</f>
        <v>0</v>
      </c>
      <c r="L49" s="115">
        <f t="shared" ref="L49" si="34">H49+I49-K49</f>
        <v>1385.36</v>
      </c>
      <c r="M49" s="119"/>
      <c r="N49" s="47"/>
    </row>
    <row r="50" spans="1:14" ht="30" customHeight="1" x14ac:dyDescent="0.2">
      <c r="B50" s="198">
        <v>33</v>
      </c>
      <c r="C50" s="208" t="s">
        <v>340</v>
      </c>
      <c r="D50" s="199" t="s">
        <v>199</v>
      </c>
      <c r="E50" s="199" t="s">
        <v>108</v>
      </c>
      <c r="F50" s="200">
        <v>15</v>
      </c>
      <c r="G50" s="193">
        <v>92.356999999999999</v>
      </c>
      <c r="H50" s="115">
        <f t="shared" si="30"/>
        <v>1385.36</v>
      </c>
      <c r="I50" s="150">
        <v>0</v>
      </c>
      <c r="J50" s="150">
        <f t="shared" si="27"/>
        <v>0</v>
      </c>
      <c r="K50" s="150">
        <f t="shared" si="28"/>
        <v>0</v>
      </c>
      <c r="L50" s="115">
        <f t="shared" si="29"/>
        <v>1385.36</v>
      </c>
      <c r="M50" s="119"/>
      <c r="N50" s="47"/>
    </row>
    <row r="51" spans="1:14" ht="30" customHeight="1" x14ac:dyDescent="0.2">
      <c r="B51" s="198">
        <v>34</v>
      </c>
      <c r="C51" s="208" t="s">
        <v>340</v>
      </c>
      <c r="D51" s="199" t="s">
        <v>200</v>
      </c>
      <c r="E51" s="199" t="s">
        <v>56</v>
      </c>
      <c r="F51" s="200">
        <v>15</v>
      </c>
      <c r="G51" s="193">
        <v>220.8</v>
      </c>
      <c r="H51" s="115">
        <f>ROUND(F51*G51,2)</f>
        <v>3312</v>
      </c>
      <c r="I51" s="150">
        <v>0</v>
      </c>
      <c r="J51" s="150">
        <f t="shared" si="27"/>
        <v>0</v>
      </c>
      <c r="K51" s="150">
        <f t="shared" si="28"/>
        <v>0</v>
      </c>
      <c r="L51" s="115">
        <f t="shared" si="29"/>
        <v>3312</v>
      </c>
      <c r="M51" s="119"/>
      <c r="N51" s="47"/>
    </row>
    <row r="52" spans="1:14" ht="30" customHeight="1" x14ac:dyDescent="0.2">
      <c r="A52" s="5" t="s">
        <v>28</v>
      </c>
      <c r="B52" s="198">
        <v>35</v>
      </c>
      <c r="C52" s="208" t="s">
        <v>340</v>
      </c>
      <c r="D52" s="199" t="s">
        <v>201</v>
      </c>
      <c r="E52" s="199" t="s">
        <v>56</v>
      </c>
      <c r="F52" s="200">
        <v>15</v>
      </c>
      <c r="G52" s="193">
        <v>220.8</v>
      </c>
      <c r="H52" s="115">
        <f t="shared" ref="H52:H55" si="35">ROUND(F52*G52,2)</f>
        <v>3312</v>
      </c>
      <c r="I52" s="150">
        <v>0</v>
      </c>
      <c r="J52" s="150">
        <f t="shared" si="27"/>
        <v>0</v>
      </c>
      <c r="K52" s="150">
        <f t="shared" si="28"/>
        <v>0</v>
      </c>
      <c r="L52" s="115">
        <f t="shared" si="29"/>
        <v>3312</v>
      </c>
      <c r="M52" s="119"/>
      <c r="N52" s="47"/>
    </row>
    <row r="53" spans="1:14" ht="30" customHeight="1" x14ac:dyDescent="0.2">
      <c r="B53" s="198">
        <v>36</v>
      </c>
      <c r="C53" s="208" t="s">
        <v>340</v>
      </c>
      <c r="D53" s="199" t="s">
        <v>165</v>
      </c>
      <c r="E53" s="199" t="s">
        <v>56</v>
      </c>
      <c r="F53" s="200">
        <v>15</v>
      </c>
      <c r="G53" s="193">
        <v>220.8</v>
      </c>
      <c r="H53" s="115">
        <f t="shared" si="35"/>
        <v>3312</v>
      </c>
      <c r="I53" s="150">
        <v>0</v>
      </c>
      <c r="J53" s="150">
        <f t="shared" si="27"/>
        <v>0</v>
      </c>
      <c r="K53" s="150">
        <f t="shared" si="28"/>
        <v>0</v>
      </c>
      <c r="L53" s="115">
        <f t="shared" si="29"/>
        <v>3312</v>
      </c>
      <c r="M53" s="119"/>
      <c r="N53" s="47"/>
    </row>
    <row r="54" spans="1:14" ht="30" customHeight="1" x14ac:dyDescent="0.2">
      <c r="B54" s="198">
        <v>37</v>
      </c>
      <c r="C54" s="208" t="s">
        <v>340</v>
      </c>
      <c r="D54" s="199" t="s">
        <v>164</v>
      </c>
      <c r="E54" s="199" t="s">
        <v>56</v>
      </c>
      <c r="F54" s="200">
        <v>15</v>
      </c>
      <c r="G54" s="193">
        <v>220.8</v>
      </c>
      <c r="H54" s="115">
        <f t="shared" si="35"/>
        <v>3312</v>
      </c>
      <c r="I54" s="150">
        <v>0</v>
      </c>
      <c r="J54" s="150">
        <f t="shared" si="27"/>
        <v>0</v>
      </c>
      <c r="K54" s="150">
        <f t="shared" si="28"/>
        <v>0</v>
      </c>
      <c r="L54" s="115">
        <f t="shared" si="29"/>
        <v>3312</v>
      </c>
      <c r="M54" s="119"/>
      <c r="N54" s="47"/>
    </row>
    <row r="55" spans="1:14" ht="30" customHeight="1" x14ac:dyDescent="0.2">
      <c r="B55" s="198">
        <v>38</v>
      </c>
      <c r="C55" s="208" t="s">
        <v>340</v>
      </c>
      <c r="D55" s="199" t="s">
        <v>465</v>
      </c>
      <c r="E55" s="199" t="s">
        <v>56</v>
      </c>
      <c r="F55" s="200">
        <v>15</v>
      </c>
      <c r="G55" s="193">
        <v>220.8</v>
      </c>
      <c r="H55" s="115">
        <f t="shared" si="35"/>
        <v>3312</v>
      </c>
      <c r="I55" s="150">
        <v>0</v>
      </c>
      <c r="J55" s="150">
        <f t="shared" si="27"/>
        <v>0</v>
      </c>
      <c r="K55" s="150">
        <f t="shared" si="28"/>
        <v>0</v>
      </c>
      <c r="L55" s="115">
        <f t="shared" si="29"/>
        <v>3312</v>
      </c>
      <c r="M55" s="119"/>
      <c r="N55" s="47"/>
    </row>
    <row r="56" spans="1:14" ht="30" customHeight="1" x14ac:dyDescent="0.2">
      <c r="B56" s="198">
        <v>39</v>
      </c>
      <c r="C56" s="208" t="s">
        <v>340</v>
      </c>
      <c r="D56" s="199" t="s">
        <v>451</v>
      </c>
      <c r="E56" s="199" t="s">
        <v>56</v>
      </c>
      <c r="F56" s="200">
        <v>15</v>
      </c>
      <c r="G56" s="193">
        <v>220.8</v>
      </c>
      <c r="H56" s="115">
        <f t="shared" ref="H56" si="36">ROUND(F56*G56,2)</f>
        <v>3312</v>
      </c>
      <c r="I56" s="150">
        <v>0</v>
      </c>
      <c r="J56" s="150">
        <f t="shared" ref="J56" si="37">IF(G56&lt;=248.93,0,(IFERROR(IF(ROUND((((H56/F56*30.4)-VLOOKUP((H56/F56*30.4),TARIFA,1))*VLOOKUP((H56/F56*30.4),TARIFA,3)+VLOOKUP((H56/F56*30.4),TARIFA,2)-VLOOKUP((H56/F56*30.4),SUBSIDIO,2))/30.4*F56,2)&gt;0,ROUND((((H56/F56*30.4)-VLOOKUP((H56/F56*30.4),TARIFA,1))*VLOOKUP((H56/F56*30.4),TARIFA,3)+VLOOKUP((H56/F56*30.4),TARIFA,2)-VLOOKUP((H56/F56*30.4),SUBSIDIO,2))/30.4*F56,2),0),0)))</f>
        <v>0</v>
      </c>
      <c r="K56" s="150">
        <f t="shared" ref="K56" si="38">J56</f>
        <v>0</v>
      </c>
      <c r="L56" s="115">
        <f t="shared" ref="L56" si="39">H56+I56-K56</f>
        <v>3312</v>
      </c>
      <c r="M56" s="119"/>
      <c r="N56" s="47"/>
    </row>
    <row r="57" spans="1:14" ht="30" customHeight="1" x14ac:dyDescent="0.2">
      <c r="B57" s="198">
        <v>40</v>
      </c>
      <c r="C57" s="208" t="s">
        <v>340</v>
      </c>
      <c r="D57" s="199" t="s">
        <v>353</v>
      </c>
      <c r="E57" s="199" t="s">
        <v>354</v>
      </c>
      <c r="F57" s="200">
        <v>15</v>
      </c>
      <c r="G57" s="193">
        <v>166.101</v>
      </c>
      <c r="H57" s="115">
        <f>ROUND(F57*G57,2)</f>
        <v>2491.52</v>
      </c>
      <c r="I57" s="150">
        <v>0</v>
      </c>
      <c r="J57" s="150">
        <f t="shared" si="27"/>
        <v>0</v>
      </c>
      <c r="K57" s="150">
        <v>0</v>
      </c>
      <c r="L57" s="115">
        <f>H57+I57-K57</f>
        <v>2491.52</v>
      </c>
      <c r="M57" s="119"/>
      <c r="N57" s="47"/>
    </row>
    <row r="58" spans="1:14" ht="30" customHeight="1" x14ac:dyDescent="0.2">
      <c r="B58" s="198">
        <v>41</v>
      </c>
      <c r="C58" s="208" t="s">
        <v>340</v>
      </c>
      <c r="D58" s="199" t="s">
        <v>446</v>
      </c>
      <c r="E58" s="199" t="s">
        <v>69</v>
      </c>
      <c r="F58" s="200">
        <v>15</v>
      </c>
      <c r="G58" s="193">
        <v>151.03</v>
      </c>
      <c r="H58" s="115">
        <f>ROUND(F58*G58,2)</f>
        <v>2265.4499999999998</v>
      </c>
      <c r="I58" s="150">
        <v>0</v>
      </c>
      <c r="J58" s="150">
        <f t="shared" ref="J58" si="40">IF(G58&lt;=248.93,0,(IFERROR(IF(ROUND((((H58/F58*30.4)-VLOOKUP((H58/F58*30.4),TARIFA,1))*VLOOKUP((H58/F58*30.4),TARIFA,3)+VLOOKUP((H58/F58*30.4),TARIFA,2)-VLOOKUP((H58/F58*30.4),SUBSIDIO,2))/30.4*F58,2)&gt;0,ROUND((((H58/F58*30.4)-VLOOKUP((H58/F58*30.4),TARIFA,1))*VLOOKUP((H58/F58*30.4),TARIFA,3)+VLOOKUP((H58/F58*30.4),TARIFA,2)-VLOOKUP((H58/F58*30.4),SUBSIDIO,2))/30.4*F58,2),0),0)))</f>
        <v>0</v>
      </c>
      <c r="K58" s="150">
        <v>0</v>
      </c>
      <c r="L58" s="115">
        <f>H58+I58-K58</f>
        <v>2265.4499999999998</v>
      </c>
      <c r="M58" s="119"/>
      <c r="N58" s="47"/>
    </row>
    <row r="59" spans="1:14" ht="30" customHeight="1" x14ac:dyDescent="0.2">
      <c r="B59" s="198">
        <v>42</v>
      </c>
      <c r="C59" s="208" t="s">
        <v>340</v>
      </c>
      <c r="D59" s="199" t="s">
        <v>265</v>
      </c>
      <c r="E59" s="199" t="s">
        <v>472</v>
      </c>
      <c r="F59" s="200">
        <v>15</v>
      </c>
      <c r="G59" s="193">
        <v>113.94058</v>
      </c>
      <c r="H59" s="115">
        <f>ROUND(F59*G59,2)</f>
        <v>1709.11</v>
      </c>
      <c r="I59" s="150">
        <v>0</v>
      </c>
      <c r="J59" s="150">
        <f t="shared" ref="J59" si="41">IF(G59&lt;=248.93,0,(IFERROR(IF(ROUND((((H59/F59*30.4)-VLOOKUP((H59/F59*30.4),TARIFA,1))*VLOOKUP((H59/F59*30.4),TARIFA,3)+VLOOKUP((H59/F59*30.4),TARIFA,2)-VLOOKUP((H59/F59*30.4),SUBSIDIO,2))/30.4*F59,2)&gt;0,ROUND((((H59/F59*30.4)-VLOOKUP((H59/F59*30.4),TARIFA,1))*VLOOKUP((H59/F59*30.4),TARIFA,3)+VLOOKUP((H59/F59*30.4),TARIFA,2)-VLOOKUP((H59/F59*30.4),SUBSIDIO,2))/30.4*F59,2),0),0)))</f>
        <v>0</v>
      </c>
      <c r="K59" s="150">
        <v>0</v>
      </c>
      <c r="L59" s="115">
        <f>H59+I59-K59</f>
        <v>1709.11</v>
      </c>
      <c r="M59" s="119"/>
      <c r="N59" s="47"/>
    </row>
    <row r="60" spans="1:14" ht="30" customHeight="1" x14ac:dyDescent="0.2">
      <c r="B60" s="198"/>
      <c r="C60" s="208"/>
      <c r="D60" s="199"/>
      <c r="E60" s="214" t="s">
        <v>33</v>
      </c>
      <c r="F60" s="400"/>
      <c r="G60" s="401"/>
      <c r="H60" s="116">
        <f>SUM(H44:H59)</f>
        <v>41183.359999999993</v>
      </c>
      <c r="I60" s="151">
        <f>SUM(I44:I59)</f>
        <v>0</v>
      </c>
      <c r="J60" s="151">
        <f>SUM(J44:J59)</f>
        <v>0</v>
      </c>
      <c r="K60" s="151">
        <f>SUM(K44:K59)</f>
        <v>0</v>
      </c>
      <c r="L60" s="116">
        <f>SUM(L44:L59)</f>
        <v>41183.359999999993</v>
      </c>
      <c r="M60" s="120">
        <f>SUM(M44:M58)</f>
        <v>0</v>
      </c>
      <c r="N60" s="47"/>
    </row>
    <row r="61" spans="1:14" ht="30" customHeight="1" x14ac:dyDescent="0.2">
      <c r="B61" s="402" t="s">
        <v>44</v>
      </c>
      <c r="C61" s="403"/>
      <c r="D61" s="404"/>
      <c r="E61" s="404"/>
      <c r="F61" s="404"/>
      <c r="G61" s="404"/>
      <c r="H61" s="404"/>
      <c r="I61" s="404"/>
      <c r="J61" s="404"/>
      <c r="K61" s="404"/>
      <c r="L61" s="404"/>
      <c r="M61" s="405"/>
      <c r="N61" s="47"/>
    </row>
    <row r="62" spans="1:14" ht="30" customHeight="1" x14ac:dyDescent="0.2">
      <c r="B62" s="198">
        <v>43</v>
      </c>
      <c r="C62" s="208" t="s">
        <v>340</v>
      </c>
      <c r="D62" s="199" t="s">
        <v>202</v>
      </c>
      <c r="E62" s="199" t="s">
        <v>72</v>
      </c>
      <c r="F62" s="200">
        <v>15</v>
      </c>
      <c r="G62" s="211">
        <v>159.98240000000001</v>
      </c>
      <c r="H62" s="115">
        <f>ROUND(F62*G62,2)</f>
        <v>2399.7399999999998</v>
      </c>
      <c r="I62" s="150">
        <v>0</v>
      </c>
      <c r="J62" s="150">
        <f>IF(G62&lt;=248.93,0,(IFERROR(IF(ROUND((((H62/F62*30.4)-VLOOKUP((H62/F62*30.4),TARIFA,1))*VLOOKUP((H62/F62*30.4),TARIFA,3)+VLOOKUP((H62/F62*30.4),TARIFA,2)-VLOOKUP((H62/F62*30.4),SUBSIDIO,2))/30.4*F62,2)&gt;0,ROUND((((H62/F62*30.4)-VLOOKUP((H62/F62*30.4),TARIFA,1))*VLOOKUP((H62/F62*30.4),TARIFA,3)+VLOOKUP((H62/F62*30.4),TARIFA,2)-VLOOKUP((H62/F62*30.4),SUBSIDIO,2))/30.4*F62,2),0),0)))</f>
        <v>0</v>
      </c>
      <c r="K62" s="150">
        <f>J62</f>
        <v>0</v>
      </c>
      <c r="L62" s="115">
        <f>H62+I62-K62</f>
        <v>2399.7399999999998</v>
      </c>
      <c r="M62" s="119"/>
      <c r="N62" s="47"/>
    </row>
    <row r="63" spans="1:14" ht="30" customHeight="1" x14ac:dyDescent="0.2">
      <c r="B63" s="198">
        <v>44</v>
      </c>
      <c r="C63" s="208" t="s">
        <v>340</v>
      </c>
      <c r="D63" s="199" t="s">
        <v>203</v>
      </c>
      <c r="E63" s="199" t="s">
        <v>65</v>
      </c>
      <c r="F63" s="200">
        <v>15</v>
      </c>
      <c r="G63" s="211">
        <v>213.13300000000001</v>
      </c>
      <c r="H63" s="115">
        <f>ROUND(F63*G63,2)</f>
        <v>3197</v>
      </c>
      <c r="I63" s="150">
        <v>0</v>
      </c>
      <c r="J63" s="150">
        <f>IF(G63&lt;=248.93,0,(IFERROR(IF(ROUND((((H63/F63*30.4)-VLOOKUP((H63/F63*30.4),TARIFA,1))*VLOOKUP((H63/F63*30.4),TARIFA,3)+VLOOKUP((H63/F63*30.4),TARIFA,2)-VLOOKUP((H63/F63*30.4),SUBSIDIO,2))/30.4*F63,2)&gt;0,ROUND((((H63/F63*30.4)-VLOOKUP((H63/F63*30.4),TARIFA,1))*VLOOKUP((H63/F63*30.4),TARIFA,3)+VLOOKUP((H63/F63*30.4),TARIFA,2)-VLOOKUP((H63/F63*30.4),SUBSIDIO,2))/30.4*F63,2),0),0)))</f>
        <v>0</v>
      </c>
      <c r="K63" s="150">
        <f>J63</f>
        <v>0</v>
      </c>
      <c r="L63" s="115">
        <f>H63+I63-K63</f>
        <v>3197</v>
      </c>
      <c r="M63" s="119"/>
      <c r="N63" s="47"/>
    </row>
    <row r="64" spans="1:14" ht="30" customHeight="1" x14ac:dyDescent="0.2">
      <c r="B64" s="198">
        <v>45</v>
      </c>
      <c r="C64" s="208" t="s">
        <v>340</v>
      </c>
      <c r="D64" s="199" t="s">
        <v>204</v>
      </c>
      <c r="E64" s="199" t="s">
        <v>65</v>
      </c>
      <c r="F64" s="200">
        <v>15</v>
      </c>
      <c r="G64" s="211">
        <v>261.8</v>
      </c>
      <c r="H64" s="115">
        <f>ROUND(F64*G64,2)</f>
        <v>3927</v>
      </c>
      <c r="I64" s="150">
        <v>0</v>
      </c>
      <c r="J64" s="115">
        <f>IF(G64&lt;=248.93,0,(IFERROR(IF(ROUND((((H64/F64*30.4)-VLOOKUP((H64/F64*30.4),TARIFA,1))*VLOOKUP((H64/F64*30.4),TARIFA,3)+VLOOKUP((H64/F64*30.4),TARIFA,2)-VLOOKUP((H64/F64*30.4),SUBSIDIO,2))/30.4*F64,2)&gt;0,ROUND((((H64/F64*30.4)-VLOOKUP((H64/F64*30.4),TARIFA,1))*VLOOKUP((H64/F64*30.4),TARIFA,3)+VLOOKUP((H64/F64*30.4),TARIFA,2)-VLOOKUP((H64/F64*30.4),SUBSIDIO,2))/30.4*F64,2),0),0)))</f>
        <v>78.36</v>
      </c>
      <c r="K64" s="115">
        <f>J64</f>
        <v>78.36</v>
      </c>
      <c r="L64" s="115">
        <f>H64+I64-K64</f>
        <v>3848.64</v>
      </c>
      <c r="M64" s="119"/>
      <c r="N64" s="47"/>
    </row>
    <row r="65" spans="2:14" ht="30" customHeight="1" x14ac:dyDescent="0.2">
      <c r="B65" s="198">
        <v>46</v>
      </c>
      <c r="C65" s="208" t="s">
        <v>340</v>
      </c>
      <c r="D65" s="199" t="s">
        <v>258</v>
      </c>
      <c r="E65" s="199" t="s">
        <v>259</v>
      </c>
      <c r="F65" s="200">
        <v>15</v>
      </c>
      <c r="G65" s="211">
        <v>315.13299999999998</v>
      </c>
      <c r="H65" s="115">
        <f>ROUND(F65*G65,2)</f>
        <v>4727</v>
      </c>
      <c r="I65" s="150">
        <v>0</v>
      </c>
      <c r="J65" s="115">
        <f>IF(G65&lt;=248.93,0,(IFERROR(IF(ROUND((((H65/F65*30.4)-VLOOKUP((H65/F65*30.4),TARIFA,1))*VLOOKUP((H65/F65*30.4),TARIFA,3)+VLOOKUP((H65/F65*30.4),TARIFA,2)-VLOOKUP((H65/F65*30.4),SUBSIDIO,2))/30.4*F65,2)&gt;0,ROUND((((H65/F65*30.4)-VLOOKUP((H65/F65*30.4),TARIFA,1))*VLOOKUP((H65/F65*30.4),TARIFA,3)+VLOOKUP((H65/F65*30.4),TARIFA,2)-VLOOKUP((H65/F65*30.4),SUBSIDIO,2))/30.4*F65,2),0),0)))</f>
        <v>357.83</v>
      </c>
      <c r="K65" s="115">
        <f>J65</f>
        <v>357.83</v>
      </c>
      <c r="L65" s="115">
        <f>H65+I65-K65</f>
        <v>4369.17</v>
      </c>
      <c r="M65" s="119"/>
      <c r="N65" s="47"/>
    </row>
    <row r="66" spans="2:14" ht="30" customHeight="1" x14ac:dyDescent="0.2">
      <c r="B66" s="198"/>
      <c r="C66" s="208"/>
      <c r="D66" s="199"/>
      <c r="E66" s="210" t="s">
        <v>33</v>
      </c>
      <c r="F66" s="400"/>
      <c r="G66" s="401"/>
      <c r="H66" s="116">
        <f>SUM(H62:H65)</f>
        <v>14250.74</v>
      </c>
      <c r="I66" s="151">
        <f t="shared" ref="I66:M66" si="42">SUM(I62:I65)</f>
        <v>0</v>
      </c>
      <c r="J66" s="116">
        <f t="shared" si="42"/>
        <v>436.19</v>
      </c>
      <c r="K66" s="116">
        <f t="shared" si="42"/>
        <v>436.19</v>
      </c>
      <c r="L66" s="116">
        <f>SUM(L62:L65)</f>
        <v>13814.55</v>
      </c>
      <c r="M66" s="120">
        <f t="shared" si="42"/>
        <v>0</v>
      </c>
      <c r="N66" s="47"/>
    </row>
    <row r="67" spans="2:14" ht="30" customHeight="1" x14ac:dyDescent="0.2">
      <c r="B67" s="402" t="s">
        <v>46</v>
      </c>
      <c r="C67" s="403"/>
      <c r="D67" s="404"/>
      <c r="E67" s="404"/>
      <c r="F67" s="404"/>
      <c r="G67" s="404"/>
      <c r="H67" s="404"/>
      <c r="I67" s="404"/>
      <c r="J67" s="404"/>
      <c r="K67" s="404"/>
      <c r="L67" s="404"/>
      <c r="M67" s="405"/>
      <c r="N67" s="47"/>
    </row>
    <row r="68" spans="2:14" ht="30" customHeight="1" x14ac:dyDescent="0.2">
      <c r="B68" s="198">
        <v>47</v>
      </c>
      <c r="C68" s="208" t="s">
        <v>340</v>
      </c>
      <c r="D68" s="199" t="s">
        <v>205</v>
      </c>
      <c r="E68" s="199" t="s">
        <v>47</v>
      </c>
      <c r="F68" s="200">
        <v>15</v>
      </c>
      <c r="G68" s="193">
        <v>181.8</v>
      </c>
      <c r="H68" s="115">
        <f t="shared" ref="H68:H72" si="43">ROUND(F68*G68,2)</f>
        <v>2727</v>
      </c>
      <c r="I68" s="150">
        <v>0</v>
      </c>
      <c r="J68" s="150">
        <f t="shared" ref="J68:J75" si="44">IF(G68&lt;=248.93,0,(IFERROR(IF(ROUND((((H68/F68*30.4)-VLOOKUP((H68/F68*30.4),TARIFA,1))*VLOOKUP((H68/F68*30.4),TARIFA,3)+VLOOKUP((H68/F68*30.4),TARIFA,2)-VLOOKUP((H68/F68*30.4),SUBSIDIO,2))/30.4*F68,2)&gt;0,ROUND((((H68/F68*30.4)-VLOOKUP((H68/F68*30.4),TARIFA,1))*VLOOKUP((H68/F68*30.4),TARIFA,3)+VLOOKUP((H68/F68*30.4),TARIFA,2)-VLOOKUP((H68/F68*30.4),SUBSIDIO,2))/30.4*F68,2),0),0)))</f>
        <v>0</v>
      </c>
      <c r="K68" s="150">
        <f t="shared" ref="K68:K73" si="45">J68</f>
        <v>0</v>
      </c>
      <c r="L68" s="115">
        <f t="shared" ref="L68:L73" si="46">H68+I68-K68</f>
        <v>2727</v>
      </c>
      <c r="M68" s="119"/>
      <c r="N68" s="47"/>
    </row>
    <row r="69" spans="2:14" ht="30" customHeight="1" x14ac:dyDescent="0.2">
      <c r="B69" s="198">
        <v>48</v>
      </c>
      <c r="C69" s="208" t="s">
        <v>340</v>
      </c>
      <c r="D69" s="199" t="s">
        <v>206</v>
      </c>
      <c r="E69" s="199" t="s">
        <v>54</v>
      </c>
      <c r="F69" s="200">
        <v>15</v>
      </c>
      <c r="G69" s="193">
        <v>138.10599999999999</v>
      </c>
      <c r="H69" s="115">
        <f t="shared" si="43"/>
        <v>2071.59</v>
      </c>
      <c r="I69" s="150">
        <v>0</v>
      </c>
      <c r="J69" s="150">
        <f t="shared" si="44"/>
        <v>0</v>
      </c>
      <c r="K69" s="150">
        <f t="shared" si="45"/>
        <v>0</v>
      </c>
      <c r="L69" s="115">
        <f t="shared" si="46"/>
        <v>2071.59</v>
      </c>
      <c r="M69" s="119"/>
      <c r="N69" s="47"/>
    </row>
    <row r="70" spans="2:14" ht="30" customHeight="1" x14ac:dyDescent="0.2">
      <c r="B70" s="198">
        <v>49</v>
      </c>
      <c r="C70" s="208" t="s">
        <v>340</v>
      </c>
      <c r="D70" s="199" t="s">
        <v>376</v>
      </c>
      <c r="E70" s="199" t="s">
        <v>54</v>
      </c>
      <c r="F70" s="200">
        <v>15</v>
      </c>
      <c r="G70" s="193">
        <v>146.66659999999999</v>
      </c>
      <c r="H70" s="115">
        <f t="shared" si="43"/>
        <v>2200</v>
      </c>
      <c r="I70" s="150">
        <v>0</v>
      </c>
      <c r="J70" s="150">
        <f t="shared" si="44"/>
        <v>0</v>
      </c>
      <c r="K70" s="150">
        <f t="shared" si="45"/>
        <v>0</v>
      </c>
      <c r="L70" s="115">
        <f t="shared" si="46"/>
        <v>2200</v>
      </c>
      <c r="M70" s="119"/>
      <c r="N70" s="47"/>
    </row>
    <row r="71" spans="2:14" ht="30" customHeight="1" x14ac:dyDescent="0.2">
      <c r="B71" s="198">
        <v>50</v>
      </c>
      <c r="C71" s="208"/>
      <c r="D71" s="199" t="s">
        <v>207</v>
      </c>
      <c r="E71" s="199" t="s">
        <v>54</v>
      </c>
      <c r="F71" s="200">
        <v>15</v>
      </c>
      <c r="G71" s="193">
        <v>153.333</v>
      </c>
      <c r="H71" s="115">
        <f t="shared" si="43"/>
        <v>2300</v>
      </c>
      <c r="I71" s="150">
        <v>0</v>
      </c>
      <c r="J71" s="150">
        <f t="shared" si="44"/>
        <v>0</v>
      </c>
      <c r="K71" s="150">
        <f t="shared" si="45"/>
        <v>0</v>
      </c>
      <c r="L71" s="115">
        <f t="shared" si="46"/>
        <v>2300</v>
      </c>
      <c r="M71" s="119"/>
      <c r="N71" s="47"/>
    </row>
    <row r="72" spans="2:14" ht="30" customHeight="1" x14ac:dyDescent="0.2">
      <c r="B72" s="198">
        <v>51</v>
      </c>
      <c r="C72" s="208"/>
      <c r="D72" s="199" t="s">
        <v>208</v>
      </c>
      <c r="E72" s="199" t="s">
        <v>54</v>
      </c>
      <c r="F72" s="200">
        <v>15</v>
      </c>
      <c r="G72" s="193">
        <v>153.333</v>
      </c>
      <c r="H72" s="115">
        <f t="shared" si="43"/>
        <v>2300</v>
      </c>
      <c r="I72" s="150">
        <v>0</v>
      </c>
      <c r="J72" s="150">
        <f t="shared" si="44"/>
        <v>0</v>
      </c>
      <c r="K72" s="150">
        <f t="shared" si="45"/>
        <v>0</v>
      </c>
      <c r="L72" s="115">
        <f t="shared" si="46"/>
        <v>2300</v>
      </c>
      <c r="M72" s="119"/>
      <c r="N72" s="47"/>
    </row>
    <row r="73" spans="2:14" ht="30" customHeight="1" x14ac:dyDescent="0.2">
      <c r="B73" s="198">
        <v>52</v>
      </c>
      <c r="C73" s="208" t="s">
        <v>340</v>
      </c>
      <c r="D73" s="215" t="s">
        <v>156</v>
      </c>
      <c r="E73" s="199" t="s">
        <v>54</v>
      </c>
      <c r="F73" s="200">
        <v>15</v>
      </c>
      <c r="G73" s="193">
        <v>111.819</v>
      </c>
      <c r="H73" s="115">
        <f>ROUND(F73*G73,2)</f>
        <v>1677.29</v>
      </c>
      <c r="I73" s="150">
        <v>0</v>
      </c>
      <c r="J73" s="150">
        <f t="shared" si="44"/>
        <v>0</v>
      </c>
      <c r="K73" s="150">
        <f t="shared" si="45"/>
        <v>0</v>
      </c>
      <c r="L73" s="115">
        <f t="shared" si="46"/>
        <v>1677.29</v>
      </c>
      <c r="M73" s="119"/>
      <c r="N73" s="47"/>
    </row>
    <row r="74" spans="2:14" ht="30" customHeight="1" x14ac:dyDescent="0.2">
      <c r="B74" s="198">
        <v>53</v>
      </c>
      <c r="C74" s="208" t="s">
        <v>340</v>
      </c>
      <c r="D74" s="215" t="s">
        <v>346</v>
      </c>
      <c r="E74" s="199" t="s">
        <v>347</v>
      </c>
      <c r="F74" s="200">
        <v>15</v>
      </c>
      <c r="G74" s="193">
        <v>376.8</v>
      </c>
      <c r="H74" s="115">
        <f>ROUND(F74*G74,2)</f>
        <v>5652</v>
      </c>
      <c r="I74" s="150">
        <v>0</v>
      </c>
      <c r="J74" s="150">
        <f t="shared" si="44"/>
        <v>466.73</v>
      </c>
      <c r="K74" s="150">
        <f>J74</f>
        <v>466.73</v>
      </c>
      <c r="L74" s="115">
        <f>H74+I74-K74</f>
        <v>5185.2700000000004</v>
      </c>
      <c r="M74" s="119"/>
      <c r="N74" s="47"/>
    </row>
    <row r="75" spans="2:14" ht="30" customHeight="1" x14ac:dyDescent="0.2">
      <c r="B75" s="198">
        <v>54</v>
      </c>
      <c r="C75" s="208" t="s">
        <v>340</v>
      </c>
      <c r="D75" s="215" t="s">
        <v>351</v>
      </c>
      <c r="E75" s="199" t="s">
        <v>347</v>
      </c>
      <c r="F75" s="200">
        <v>15</v>
      </c>
      <c r="G75" s="193">
        <v>544.6</v>
      </c>
      <c r="H75" s="115">
        <f>ROUND(F75*G75,2)</f>
        <v>8169</v>
      </c>
      <c r="I75" s="150">
        <v>0</v>
      </c>
      <c r="J75" s="150">
        <f t="shared" si="44"/>
        <v>921.87</v>
      </c>
      <c r="K75" s="150">
        <f>J75</f>
        <v>921.87</v>
      </c>
      <c r="L75" s="115">
        <f>H75+I75-K75</f>
        <v>7247.13</v>
      </c>
      <c r="M75" s="119"/>
      <c r="N75" s="47"/>
    </row>
    <row r="76" spans="2:14" ht="30" customHeight="1" x14ac:dyDescent="0.2">
      <c r="B76" s="198">
        <v>55</v>
      </c>
      <c r="C76" s="208" t="s">
        <v>340</v>
      </c>
      <c r="D76" s="215" t="s">
        <v>463</v>
      </c>
      <c r="E76" s="199" t="s">
        <v>42</v>
      </c>
      <c r="F76" s="356">
        <v>15</v>
      </c>
      <c r="G76" s="193">
        <v>138.10599999999999</v>
      </c>
      <c r="H76" s="115">
        <f>ROUND(F76*G76,2)</f>
        <v>2071.59</v>
      </c>
      <c r="I76" s="150">
        <v>0</v>
      </c>
      <c r="J76" s="150">
        <v>0</v>
      </c>
      <c r="K76" s="150">
        <v>0</v>
      </c>
      <c r="L76" s="115">
        <f>H76+I76-K76</f>
        <v>2071.59</v>
      </c>
      <c r="M76" s="119"/>
      <c r="N76" s="47"/>
    </row>
    <row r="77" spans="2:14" ht="30" customHeight="1" x14ac:dyDescent="0.2">
      <c r="B77" s="198"/>
      <c r="C77" s="208"/>
      <c r="D77" s="199"/>
      <c r="E77" s="210" t="s">
        <v>33</v>
      </c>
      <c r="F77" s="400"/>
      <c r="G77" s="401"/>
      <c r="H77" s="116">
        <f>SUM(H68:H76)</f>
        <v>29168.47</v>
      </c>
      <c r="I77" s="151">
        <f t="shared" ref="I77:L77" si="47">SUM(I68:I76)</f>
        <v>0</v>
      </c>
      <c r="J77" s="116">
        <f t="shared" si="47"/>
        <v>1388.6</v>
      </c>
      <c r="K77" s="116">
        <f t="shared" si="47"/>
        <v>1388.6</v>
      </c>
      <c r="L77" s="116">
        <f t="shared" si="47"/>
        <v>27779.870000000003</v>
      </c>
      <c r="M77" s="120">
        <f>SUM(M68:M73)</f>
        <v>0</v>
      </c>
      <c r="N77" s="47"/>
    </row>
    <row r="78" spans="2:14" ht="30" customHeight="1" x14ac:dyDescent="0.2">
      <c r="B78" s="402" t="s">
        <v>64</v>
      </c>
      <c r="C78" s="403"/>
      <c r="D78" s="404"/>
      <c r="E78" s="404"/>
      <c r="F78" s="404"/>
      <c r="G78" s="404"/>
      <c r="H78" s="404"/>
      <c r="I78" s="404"/>
      <c r="J78" s="404"/>
      <c r="K78" s="404"/>
      <c r="L78" s="404"/>
      <c r="M78" s="405"/>
      <c r="N78" s="47"/>
    </row>
    <row r="79" spans="2:14" s="5" customFormat="1" ht="30" customHeight="1" x14ac:dyDescent="0.2">
      <c r="B79" s="198">
        <v>56</v>
      </c>
      <c r="C79" s="208"/>
      <c r="D79" s="199" t="s">
        <v>209</v>
      </c>
      <c r="E79" s="199" t="s">
        <v>35</v>
      </c>
      <c r="F79" s="200">
        <v>15</v>
      </c>
      <c r="G79" s="211">
        <v>315.13299999999998</v>
      </c>
      <c r="H79" s="115">
        <f>ROUND(F79*G79,2)</f>
        <v>4727</v>
      </c>
      <c r="I79" s="150">
        <v>0</v>
      </c>
      <c r="J79" s="115">
        <f>IF(G79&lt;=248.93,0,(IFERROR(IF(ROUND((((H79/F79*30.4)-VLOOKUP((H79/F79*30.4),TARIFA,1))*VLOOKUP((H79/F79*30.4),TARIFA,3)+VLOOKUP((H79/F79*30.4),TARIFA,2)-VLOOKUP((H79/F79*30.4),SUBSIDIO,2))/30.4*F79,2)&gt;0,ROUND((((H79/F79*30.4)-VLOOKUP((H79/F79*30.4),TARIFA,1))*VLOOKUP((H79/F79*30.4),TARIFA,3)+VLOOKUP((H79/F79*30.4),TARIFA,2)-VLOOKUP((H79/F79*30.4),SUBSIDIO,2))/30.4*F79,2),0),0)))</f>
        <v>357.83</v>
      </c>
      <c r="K79" s="115">
        <f>J79</f>
        <v>357.83</v>
      </c>
      <c r="L79" s="115">
        <f>H79+I79-K79</f>
        <v>4369.17</v>
      </c>
      <c r="M79" s="119"/>
      <c r="N79" s="47"/>
    </row>
    <row r="80" spans="2:14" ht="30" customHeight="1" x14ac:dyDescent="0.2">
      <c r="B80" s="198">
        <v>57</v>
      </c>
      <c r="C80" s="208" t="s">
        <v>340</v>
      </c>
      <c r="D80" s="199" t="s">
        <v>473</v>
      </c>
      <c r="E80" s="199" t="s">
        <v>54</v>
      </c>
      <c r="F80" s="200">
        <v>15</v>
      </c>
      <c r="G80" s="193">
        <v>113.94058</v>
      </c>
      <c r="H80" s="115">
        <f>ROUND(F80*G80,2)</f>
        <v>1709.11</v>
      </c>
      <c r="I80" s="150">
        <v>0</v>
      </c>
      <c r="J80" s="150">
        <f>IF(G80&lt;=248.93,0,(IFERROR(IF(ROUND((((H80/F80*30.4)-VLOOKUP((H80/F80*30.4),TARIFA,1))*VLOOKUP((H80/F80*30.4),TARIFA,3)+VLOOKUP((H80/F80*30.4),TARIFA,2)-VLOOKUP((H80/F80*30.4),SUBSIDIO,2))/30.4*F80,2)&gt;0,ROUND((((H80/F80*30.4)-VLOOKUP((H80/F80*30.4),TARIFA,1))*VLOOKUP((H80/F80*30.4),TARIFA,3)+VLOOKUP((H80/F80*30.4),TARIFA,2)-VLOOKUP((H80/F80*30.4),SUBSIDIO,2))/30.4*F80,2),0),0)))</f>
        <v>0</v>
      </c>
      <c r="K80" s="150">
        <f>J80</f>
        <v>0</v>
      </c>
      <c r="L80" s="115">
        <f>H80+I80-K80</f>
        <v>1709.11</v>
      </c>
      <c r="M80" s="119"/>
      <c r="N80" s="47"/>
    </row>
    <row r="81" spans="2:14" ht="30" customHeight="1" x14ac:dyDescent="0.2">
      <c r="B81" s="198"/>
      <c r="C81" s="208"/>
      <c r="D81" s="199"/>
      <c r="E81" s="210" t="s">
        <v>33</v>
      </c>
      <c r="F81" s="400"/>
      <c r="G81" s="401"/>
      <c r="H81" s="116">
        <f>SUM(H79:H80)</f>
        <v>6436.11</v>
      </c>
      <c r="I81" s="151">
        <f t="shared" ref="I81:M81" si="48">SUM(I79:I80)</f>
        <v>0</v>
      </c>
      <c r="J81" s="116">
        <f t="shared" si="48"/>
        <v>357.83</v>
      </c>
      <c r="K81" s="116">
        <f t="shared" si="48"/>
        <v>357.83</v>
      </c>
      <c r="L81" s="116">
        <f>SUM(L79:L80)</f>
        <v>6078.28</v>
      </c>
      <c r="M81" s="120">
        <f t="shared" si="48"/>
        <v>0</v>
      </c>
      <c r="N81" s="47"/>
    </row>
    <row r="82" spans="2:14" ht="30" customHeight="1" x14ac:dyDescent="0.2">
      <c r="B82" s="402" t="s">
        <v>50</v>
      </c>
      <c r="C82" s="403"/>
      <c r="D82" s="404"/>
      <c r="E82" s="404"/>
      <c r="F82" s="404"/>
      <c r="G82" s="404"/>
      <c r="H82" s="404"/>
      <c r="I82" s="404"/>
      <c r="J82" s="404"/>
      <c r="K82" s="404"/>
      <c r="L82" s="404"/>
      <c r="M82" s="405"/>
      <c r="N82" s="47"/>
    </row>
    <row r="83" spans="2:14" ht="30" customHeight="1" x14ac:dyDescent="0.2">
      <c r="B83" s="198">
        <v>58</v>
      </c>
      <c r="C83" s="208" t="s">
        <v>340</v>
      </c>
      <c r="D83" s="215" t="s">
        <v>377</v>
      </c>
      <c r="E83" s="199" t="s">
        <v>42</v>
      </c>
      <c r="F83" s="200">
        <v>15</v>
      </c>
      <c r="G83" s="193">
        <v>111.819</v>
      </c>
      <c r="H83" s="115">
        <f t="shared" ref="H83:H87" si="49">ROUND(F83*G83,2)</f>
        <v>1677.29</v>
      </c>
      <c r="I83" s="150">
        <v>0</v>
      </c>
      <c r="J83" s="150">
        <f t="shared" ref="J83:J87" si="50">IF(G83&lt;=248.93,0,(IFERROR(IF(ROUND((((H83/F83*30.4)-VLOOKUP((H83/F83*30.4),TARIFA,1))*VLOOKUP((H83/F83*30.4),TARIFA,3)+VLOOKUP((H83/F83*30.4),TARIFA,2)-VLOOKUP((H83/F83*30.4),SUBSIDIO,2))/30.4*F83,2)&gt;0,ROUND((((H83/F83*30.4)-VLOOKUP((H83/F83*30.4),TARIFA,1))*VLOOKUP((H83/F83*30.4),TARIFA,3)+VLOOKUP((H83/F83*30.4),TARIFA,2)-VLOOKUP((H83/F83*30.4),SUBSIDIO,2))/30.4*F83,2),0),0)))</f>
        <v>0</v>
      </c>
      <c r="K83" s="150">
        <f t="shared" ref="K83:K87" si="51">J83</f>
        <v>0</v>
      </c>
      <c r="L83" s="115">
        <f t="shared" ref="L83:L87" si="52">H83+I83-K83</f>
        <v>1677.29</v>
      </c>
      <c r="M83" s="119"/>
      <c r="N83" s="47"/>
    </row>
    <row r="84" spans="2:14" ht="30" customHeight="1" x14ac:dyDescent="0.2">
      <c r="B84" s="198">
        <v>59</v>
      </c>
      <c r="C84" s="208" t="s">
        <v>340</v>
      </c>
      <c r="D84" s="215" t="s">
        <v>210</v>
      </c>
      <c r="E84" s="199" t="s">
        <v>71</v>
      </c>
      <c r="F84" s="200">
        <v>15</v>
      </c>
      <c r="G84" s="193">
        <v>152.77699999999999</v>
      </c>
      <c r="H84" s="115">
        <f t="shared" si="49"/>
        <v>2291.66</v>
      </c>
      <c r="I84" s="150">
        <v>0</v>
      </c>
      <c r="J84" s="150">
        <f t="shared" si="50"/>
        <v>0</v>
      </c>
      <c r="K84" s="150">
        <f t="shared" si="51"/>
        <v>0</v>
      </c>
      <c r="L84" s="115">
        <f t="shared" si="52"/>
        <v>2291.66</v>
      </c>
      <c r="M84" s="119"/>
      <c r="N84" s="47"/>
    </row>
    <row r="85" spans="2:14" ht="30" customHeight="1" x14ac:dyDescent="0.2">
      <c r="B85" s="198">
        <v>60</v>
      </c>
      <c r="C85" s="208" t="s">
        <v>340</v>
      </c>
      <c r="D85" s="215" t="s">
        <v>348</v>
      </c>
      <c r="E85" s="199" t="s">
        <v>65</v>
      </c>
      <c r="F85" s="200">
        <v>15</v>
      </c>
      <c r="G85" s="193">
        <v>124.004</v>
      </c>
      <c r="H85" s="115">
        <f t="shared" si="49"/>
        <v>1860.06</v>
      </c>
      <c r="I85" s="150">
        <v>0</v>
      </c>
      <c r="J85" s="150">
        <f t="shared" si="50"/>
        <v>0</v>
      </c>
      <c r="K85" s="150">
        <f t="shared" si="51"/>
        <v>0</v>
      </c>
      <c r="L85" s="115">
        <f t="shared" si="52"/>
        <v>1860.06</v>
      </c>
      <c r="M85" s="119"/>
      <c r="N85" s="47"/>
    </row>
    <row r="86" spans="2:14" ht="30" customHeight="1" x14ac:dyDescent="0.2">
      <c r="B86" s="198">
        <v>61</v>
      </c>
      <c r="C86" s="208" t="s">
        <v>340</v>
      </c>
      <c r="D86" s="215" t="s">
        <v>211</v>
      </c>
      <c r="E86" s="199" t="s">
        <v>65</v>
      </c>
      <c r="F86" s="200">
        <v>15</v>
      </c>
      <c r="G86" s="193">
        <v>124.004</v>
      </c>
      <c r="H86" s="115">
        <f t="shared" si="49"/>
        <v>1860.06</v>
      </c>
      <c r="I86" s="150">
        <v>0</v>
      </c>
      <c r="J86" s="150">
        <f t="shared" si="50"/>
        <v>0</v>
      </c>
      <c r="K86" s="150">
        <f t="shared" si="51"/>
        <v>0</v>
      </c>
      <c r="L86" s="115">
        <f t="shared" si="52"/>
        <v>1860.06</v>
      </c>
      <c r="M86" s="119"/>
      <c r="N86" s="47"/>
    </row>
    <row r="87" spans="2:14" ht="30" customHeight="1" x14ac:dyDescent="0.2">
      <c r="B87" s="198">
        <v>62</v>
      </c>
      <c r="C87" s="208" t="s">
        <v>340</v>
      </c>
      <c r="D87" s="199" t="s">
        <v>212</v>
      </c>
      <c r="E87" s="199" t="s">
        <v>99</v>
      </c>
      <c r="F87" s="200">
        <v>15</v>
      </c>
      <c r="G87" s="193">
        <v>106.827</v>
      </c>
      <c r="H87" s="115">
        <f t="shared" si="49"/>
        <v>1602.41</v>
      </c>
      <c r="I87" s="150">
        <v>0</v>
      </c>
      <c r="J87" s="150">
        <f t="shared" si="50"/>
        <v>0</v>
      </c>
      <c r="K87" s="150">
        <f t="shared" si="51"/>
        <v>0</v>
      </c>
      <c r="L87" s="115">
        <f t="shared" si="52"/>
        <v>1602.41</v>
      </c>
      <c r="M87" s="119"/>
      <c r="N87" s="47"/>
    </row>
    <row r="88" spans="2:14" ht="30" customHeight="1" x14ac:dyDescent="0.2">
      <c r="B88" s="198">
        <v>63</v>
      </c>
      <c r="C88" s="208" t="s">
        <v>340</v>
      </c>
      <c r="D88" s="199" t="s">
        <v>456</v>
      </c>
      <c r="E88" s="199" t="s">
        <v>69</v>
      </c>
      <c r="F88" s="200">
        <v>15</v>
      </c>
      <c r="G88" s="193">
        <v>98.84</v>
      </c>
      <c r="H88" s="115">
        <f t="shared" ref="H88" si="53">ROUND(F88*G88,2)</f>
        <v>1482.6</v>
      </c>
      <c r="I88" s="150">
        <v>0</v>
      </c>
      <c r="J88" s="150">
        <f t="shared" ref="J88" si="54">IF(G88&lt;=248.93,0,(IFERROR(IF(ROUND((((H88/F88*30.4)-VLOOKUP((H88/F88*30.4),TARIFA,1))*VLOOKUP((H88/F88*30.4),TARIFA,3)+VLOOKUP((H88/F88*30.4),TARIFA,2)-VLOOKUP((H88/F88*30.4),SUBSIDIO,2))/30.4*F88,2)&gt;0,ROUND((((H88/F88*30.4)-VLOOKUP((H88/F88*30.4),TARIFA,1))*VLOOKUP((H88/F88*30.4),TARIFA,3)+VLOOKUP((H88/F88*30.4),TARIFA,2)-VLOOKUP((H88/F88*30.4),SUBSIDIO,2))/30.4*F88,2),0),0)))</f>
        <v>0</v>
      </c>
      <c r="K88" s="150">
        <f t="shared" ref="K88" si="55">J88</f>
        <v>0</v>
      </c>
      <c r="L88" s="115">
        <f t="shared" ref="L88" si="56">H88+I88-K88</f>
        <v>1482.6</v>
      </c>
      <c r="M88" s="119"/>
      <c r="N88" s="47"/>
    </row>
    <row r="89" spans="2:14" ht="30" customHeight="1" x14ac:dyDescent="0.2">
      <c r="B89" s="198"/>
      <c r="C89" s="208"/>
      <c r="D89" s="199"/>
      <c r="E89" s="210" t="s">
        <v>33</v>
      </c>
      <c r="F89" s="400"/>
      <c r="G89" s="401"/>
      <c r="H89" s="116">
        <f>SUM(H83:H88)</f>
        <v>10774.08</v>
      </c>
      <c r="I89" s="151">
        <f t="shared" ref="I89:L89" si="57">SUM(I83:I88)</f>
        <v>0</v>
      </c>
      <c r="J89" s="151">
        <f t="shared" si="57"/>
        <v>0</v>
      </c>
      <c r="K89" s="151">
        <f t="shared" si="57"/>
        <v>0</v>
      </c>
      <c r="L89" s="116">
        <f t="shared" si="57"/>
        <v>10774.08</v>
      </c>
      <c r="M89" s="120">
        <f t="shared" ref="M89" si="58">SUM(M83:M87)</f>
        <v>0</v>
      </c>
      <c r="N89" s="47"/>
    </row>
    <row r="90" spans="2:14" ht="30" customHeight="1" x14ac:dyDescent="0.2">
      <c r="B90" s="402" t="s">
        <v>52</v>
      </c>
      <c r="C90" s="403"/>
      <c r="D90" s="404"/>
      <c r="E90" s="404"/>
      <c r="F90" s="404"/>
      <c r="G90" s="404"/>
      <c r="H90" s="404"/>
      <c r="I90" s="404"/>
      <c r="J90" s="404"/>
      <c r="K90" s="404"/>
      <c r="L90" s="404"/>
      <c r="M90" s="405"/>
      <c r="N90" s="47"/>
    </row>
    <row r="91" spans="2:14" s="5" customFormat="1" ht="30" customHeight="1" x14ac:dyDescent="0.2">
      <c r="B91" s="198">
        <v>64</v>
      </c>
      <c r="C91" s="208" t="s">
        <v>340</v>
      </c>
      <c r="D91" s="215" t="s">
        <v>213</v>
      </c>
      <c r="E91" s="199" t="s">
        <v>94</v>
      </c>
      <c r="F91" s="200">
        <v>15</v>
      </c>
      <c r="G91" s="193">
        <v>118.30800000000001</v>
      </c>
      <c r="H91" s="115">
        <f t="shared" ref="H91:H104" si="59">ROUND(F91*G91,2)</f>
        <v>1774.62</v>
      </c>
      <c r="I91" s="150">
        <v>0</v>
      </c>
      <c r="J91" s="150">
        <f t="shared" ref="J91:J103" si="60">IF(G91&lt;=248.93,0,(IFERROR(IF(ROUND((((H91/F91*30.4)-VLOOKUP((H91/F91*30.4),TARIFA,1))*VLOOKUP((H91/F91*30.4),TARIFA,3)+VLOOKUP((H91/F91*30.4),TARIFA,2)-VLOOKUP((H91/F91*30.4),SUBSIDIO,2))/30.4*F91,2)&gt;0,ROUND((((H91/F91*30.4)-VLOOKUP((H91/F91*30.4),TARIFA,1))*VLOOKUP((H91/F91*30.4),TARIFA,3)+VLOOKUP((H91/F91*30.4),TARIFA,2)-VLOOKUP((H91/F91*30.4),SUBSIDIO,2))/30.4*F91,2),0),0)))</f>
        <v>0</v>
      </c>
      <c r="K91" s="150">
        <f t="shared" ref="K91:K103" si="61">J91</f>
        <v>0</v>
      </c>
      <c r="L91" s="115">
        <f t="shared" ref="L91:L104" si="62">H91+I91-K91</f>
        <v>1774.62</v>
      </c>
      <c r="M91" s="119"/>
      <c r="N91" s="47"/>
    </row>
    <row r="92" spans="2:14" ht="30" customHeight="1" x14ac:dyDescent="0.2">
      <c r="B92" s="198">
        <v>65</v>
      </c>
      <c r="C92" s="208" t="s">
        <v>340</v>
      </c>
      <c r="D92" s="199" t="s">
        <v>214</v>
      </c>
      <c r="E92" s="199" t="s">
        <v>54</v>
      </c>
      <c r="F92" s="200">
        <v>15</v>
      </c>
      <c r="G92" s="193">
        <v>120.929</v>
      </c>
      <c r="H92" s="115">
        <f t="shared" si="59"/>
        <v>1813.94</v>
      </c>
      <c r="I92" s="150">
        <v>0</v>
      </c>
      <c r="J92" s="150">
        <f t="shared" si="60"/>
        <v>0</v>
      </c>
      <c r="K92" s="150">
        <f t="shared" si="61"/>
        <v>0</v>
      </c>
      <c r="L92" s="115">
        <f t="shared" si="62"/>
        <v>1813.94</v>
      </c>
      <c r="M92" s="119"/>
      <c r="N92" s="47"/>
    </row>
    <row r="93" spans="2:14" ht="30" customHeight="1" x14ac:dyDescent="0.2">
      <c r="B93" s="198">
        <v>66</v>
      </c>
      <c r="C93" s="208" t="s">
        <v>340</v>
      </c>
      <c r="D93" s="199" t="s">
        <v>215</v>
      </c>
      <c r="E93" s="199" t="s">
        <v>109</v>
      </c>
      <c r="F93" s="200">
        <v>15</v>
      </c>
      <c r="G93" s="193">
        <v>101.7106</v>
      </c>
      <c r="H93" s="115">
        <f t="shared" si="59"/>
        <v>1525.66</v>
      </c>
      <c r="I93" s="150">
        <v>0</v>
      </c>
      <c r="J93" s="150">
        <f t="shared" si="60"/>
        <v>0</v>
      </c>
      <c r="K93" s="150">
        <f t="shared" si="61"/>
        <v>0</v>
      </c>
      <c r="L93" s="115">
        <f t="shared" si="62"/>
        <v>1525.66</v>
      </c>
      <c r="M93" s="119"/>
      <c r="N93" s="47"/>
    </row>
    <row r="94" spans="2:14" ht="30" customHeight="1" x14ac:dyDescent="0.2">
      <c r="B94" s="198">
        <v>67</v>
      </c>
      <c r="C94" s="208" t="s">
        <v>340</v>
      </c>
      <c r="D94" s="199" t="s">
        <v>216</v>
      </c>
      <c r="E94" s="199" t="s">
        <v>102</v>
      </c>
      <c r="F94" s="200">
        <v>15</v>
      </c>
      <c r="G94" s="193">
        <v>295.733</v>
      </c>
      <c r="H94" s="115">
        <f t="shared" si="59"/>
        <v>4436</v>
      </c>
      <c r="I94" s="150">
        <v>0</v>
      </c>
      <c r="J94" s="115">
        <f t="shared" si="60"/>
        <v>133.74</v>
      </c>
      <c r="K94" s="115">
        <f t="shared" si="61"/>
        <v>133.74</v>
      </c>
      <c r="L94" s="115">
        <f t="shared" si="62"/>
        <v>4302.26</v>
      </c>
      <c r="M94" s="119"/>
      <c r="N94" s="47"/>
    </row>
    <row r="95" spans="2:14" s="5" customFormat="1" ht="30" customHeight="1" x14ac:dyDescent="0.2">
      <c r="B95" s="198">
        <v>68</v>
      </c>
      <c r="C95" s="208" t="s">
        <v>340</v>
      </c>
      <c r="D95" s="199" t="s">
        <v>217</v>
      </c>
      <c r="E95" s="199" t="s">
        <v>38</v>
      </c>
      <c r="F95" s="200">
        <v>15</v>
      </c>
      <c r="G95" s="193">
        <v>118.9325</v>
      </c>
      <c r="H95" s="115">
        <f>ROUND(F95*G95,2)</f>
        <v>1783.99</v>
      </c>
      <c r="I95" s="150">
        <v>0</v>
      </c>
      <c r="J95" s="150">
        <f t="shared" si="60"/>
        <v>0</v>
      </c>
      <c r="K95" s="150">
        <f t="shared" si="61"/>
        <v>0</v>
      </c>
      <c r="L95" s="115">
        <f t="shared" si="62"/>
        <v>1783.99</v>
      </c>
      <c r="M95" s="119"/>
      <c r="N95" s="47"/>
    </row>
    <row r="96" spans="2:14" ht="30" customHeight="1" x14ac:dyDescent="0.2">
      <c r="B96" s="198">
        <v>69</v>
      </c>
      <c r="C96" s="208" t="s">
        <v>340</v>
      </c>
      <c r="D96" s="199" t="s">
        <v>218</v>
      </c>
      <c r="E96" s="199" t="s">
        <v>115</v>
      </c>
      <c r="F96" s="200">
        <v>15</v>
      </c>
      <c r="G96" s="193">
        <v>118.9325</v>
      </c>
      <c r="H96" s="115">
        <f>ROUND(F96*G96,2)</f>
        <v>1783.99</v>
      </c>
      <c r="I96" s="150">
        <v>0</v>
      </c>
      <c r="J96" s="150">
        <f t="shared" si="60"/>
        <v>0</v>
      </c>
      <c r="K96" s="150">
        <f t="shared" si="61"/>
        <v>0</v>
      </c>
      <c r="L96" s="115">
        <f t="shared" si="62"/>
        <v>1783.99</v>
      </c>
      <c r="M96" s="119"/>
      <c r="N96" s="47"/>
    </row>
    <row r="97" spans="2:14" ht="30" customHeight="1" x14ac:dyDescent="0.2">
      <c r="B97" s="198">
        <v>70</v>
      </c>
      <c r="C97" s="208" t="s">
        <v>340</v>
      </c>
      <c r="D97" s="199" t="s">
        <v>220</v>
      </c>
      <c r="E97" s="199" t="s">
        <v>69</v>
      </c>
      <c r="F97" s="200">
        <v>15</v>
      </c>
      <c r="G97" s="193">
        <v>90.921999999999997</v>
      </c>
      <c r="H97" s="115">
        <f t="shared" si="59"/>
        <v>1363.83</v>
      </c>
      <c r="I97" s="150">
        <v>0</v>
      </c>
      <c r="J97" s="150">
        <f t="shared" si="60"/>
        <v>0</v>
      </c>
      <c r="K97" s="150">
        <f t="shared" si="61"/>
        <v>0</v>
      </c>
      <c r="L97" s="115">
        <f t="shared" si="62"/>
        <v>1363.83</v>
      </c>
      <c r="M97" s="119"/>
      <c r="N97" s="47"/>
    </row>
    <row r="98" spans="2:14" ht="30" customHeight="1" x14ac:dyDescent="0.2">
      <c r="B98" s="198">
        <v>71</v>
      </c>
      <c r="C98" s="208" t="s">
        <v>340</v>
      </c>
      <c r="D98" s="199" t="s">
        <v>219</v>
      </c>
      <c r="E98" s="199" t="s">
        <v>66</v>
      </c>
      <c r="F98" s="200">
        <v>15</v>
      </c>
      <c r="G98" s="193">
        <v>210.46639999999999</v>
      </c>
      <c r="H98" s="115">
        <f t="shared" si="59"/>
        <v>3157</v>
      </c>
      <c r="I98" s="150">
        <v>0</v>
      </c>
      <c r="J98" s="150">
        <f t="shared" si="60"/>
        <v>0</v>
      </c>
      <c r="K98" s="150">
        <f t="shared" si="61"/>
        <v>0</v>
      </c>
      <c r="L98" s="115">
        <f t="shared" si="62"/>
        <v>3157</v>
      </c>
      <c r="M98" s="119"/>
      <c r="N98" s="47"/>
    </row>
    <row r="99" spans="2:14" ht="30" customHeight="1" x14ac:dyDescent="0.2">
      <c r="B99" s="198">
        <v>72</v>
      </c>
      <c r="C99" s="208" t="s">
        <v>340</v>
      </c>
      <c r="D99" s="199" t="s">
        <v>460</v>
      </c>
      <c r="E99" s="199" t="s">
        <v>56</v>
      </c>
      <c r="F99" s="200">
        <v>15</v>
      </c>
      <c r="G99" s="193">
        <v>91.108999999999995</v>
      </c>
      <c r="H99" s="115">
        <f t="shared" si="59"/>
        <v>1366.64</v>
      </c>
      <c r="I99" s="150">
        <v>0</v>
      </c>
      <c r="J99" s="150">
        <f t="shared" si="60"/>
        <v>0</v>
      </c>
      <c r="K99" s="150">
        <f t="shared" si="61"/>
        <v>0</v>
      </c>
      <c r="L99" s="115">
        <f t="shared" si="62"/>
        <v>1366.64</v>
      </c>
      <c r="M99" s="119"/>
      <c r="N99" s="47"/>
    </row>
    <row r="100" spans="2:14" ht="30" customHeight="1" x14ac:dyDescent="0.2">
      <c r="B100" s="198">
        <v>73</v>
      </c>
      <c r="C100" s="208" t="s">
        <v>340</v>
      </c>
      <c r="D100" s="199" t="s">
        <v>350</v>
      </c>
      <c r="E100" s="199" t="s">
        <v>56</v>
      </c>
      <c r="F100" s="200">
        <v>15</v>
      </c>
      <c r="G100" s="193">
        <v>91.108999999999995</v>
      </c>
      <c r="H100" s="115">
        <f t="shared" ref="H100" si="63">ROUND(F100*G100,2)</f>
        <v>1366.64</v>
      </c>
      <c r="I100" s="150">
        <v>0</v>
      </c>
      <c r="J100" s="150">
        <f t="shared" si="60"/>
        <v>0</v>
      </c>
      <c r="K100" s="150">
        <f t="shared" ref="K100" si="64">J100</f>
        <v>0</v>
      </c>
      <c r="L100" s="115">
        <f t="shared" si="62"/>
        <v>1366.64</v>
      </c>
      <c r="M100" s="119"/>
      <c r="N100" s="47"/>
    </row>
    <row r="101" spans="2:14" ht="30" customHeight="1" x14ac:dyDescent="0.2">
      <c r="B101" s="198">
        <v>74</v>
      </c>
      <c r="C101" s="208" t="s">
        <v>340</v>
      </c>
      <c r="D101" s="199" t="s">
        <v>221</v>
      </c>
      <c r="E101" s="199" t="s">
        <v>65</v>
      </c>
      <c r="F101" s="200">
        <v>15</v>
      </c>
      <c r="G101" s="193">
        <v>177.53299999999999</v>
      </c>
      <c r="H101" s="115">
        <f t="shared" si="59"/>
        <v>2663</v>
      </c>
      <c r="I101" s="150">
        <v>0</v>
      </c>
      <c r="J101" s="150">
        <f t="shared" si="60"/>
        <v>0</v>
      </c>
      <c r="K101" s="150">
        <f t="shared" si="61"/>
        <v>0</v>
      </c>
      <c r="L101" s="115">
        <f t="shared" si="62"/>
        <v>2663</v>
      </c>
      <c r="M101" s="119"/>
      <c r="N101" s="47"/>
    </row>
    <row r="102" spans="2:14" ht="30" customHeight="1" x14ac:dyDescent="0.2">
      <c r="B102" s="198">
        <v>75</v>
      </c>
      <c r="C102" s="208" t="s">
        <v>340</v>
      </c>
      <c r="D102" s="199" t="s">
        <v>222</v>
      </c>
      <c r="E102" s="199" t="s">
        <v>114</v>
      </c>
      <c r="F102" s="200">
        <v>15</v>
      </c>
      <c r="G102" s="193">
        <v>91.108999999999995</v>
      </c>
      <c r="H102" s="115">
        <f t="shared" si="59"/>
        <v>1366.64</v>
      </c>
      <c r="I102" s="150">
        <v>0</v>
      </c>
      <c r="J102" s="150">
        <f t="shared" si="60"/>
        <v>0</v>
      </c>
      <c r="K102" s="150">
        <f t="shared" si="61"/>
        <v>0</v>
      </c>
      <c r="L102" s="115">
        <f t="shared" si="62"/>
        <v>1366.64</v>
      </c>
      <c r="M102" s="119"/>
      <c r="N102" s="47"/>
    </row>
    <row r="103" spans="2:14" ht="30" customHeight="1" x14ac:dyDescent="0.2">
      <c r="B103" s="198">
        <v>76</v>
      </c>
      <c r="C103" s="208" t="s">
        <v>340</v>
      </c>
      <c r="D103" s="199" t="s">
        <v>345</v>
      </c>
      <c r="E103" s="199" t="s">
        <v>54</v>
      </c>
      <c r="F103" s="200">
        <v>15</v>
      </c>
      <c r="G103" s="216">
        <v>103.395</v>
      </c>
      <c r="H103" s="115">
        <f t="shared" si="59"/>
        <v>1550.93</v>
      </c>
      <c r="I103" s="150">
        <v>0</v>
      </c>
      <c r="J103" s="150">
        <f t="shared" si="60"/>
        <v>0</v>
      </c>
      <c r="K103" s="150">
        <f t="shared" si="61"/>
        <v>0</v>
      </c>
      <c r="L103" s="115">
        <f t="shared" si="62"/>
        <v>1550.93</v>
      </c>
      <c r="M103" s="119"/>
      <c r="N103" s="47"/>
    </row>
    <row r="104" spans="2:14" ht="30" customHeight="1" x14ac:dyDescent="0.2">
      <c r="B104" s="198">
        <v>77</v>
      </c>
      <c r="C104" s="208" t="s">
        <v>340</v>
      </c>
      <c r="D104" s="199" t="s">
        <v>464</v>
      </c>
      <c r="E104" s="199" t="s">
        <v>42</v>
      </c>
      <c r="F104" s="200">
        <v>15</v>
      </c>
      <c r="G104" s="193">
        <v>173.02799999999999</v>
      </c>
      <c r="H104" s="115">
        <f t="shared" si="59"/>
        <v>2595.42</v>
      </c>
      <c r="I104" s="150">
        <v>0</v>
      </c>
      <c r="J104" s="150">
        <v>0</v>
      </c>
      <c r="K104" s="150">
        <v>0</v>
      </c>
      <c r="L104" s="115">
        <f t="shared" si="62"/>
        <v>2595.42</v>
      </c>
      <c r="M104" s="119"/>
      <c r="N104" s="47"/>
    </row>
    <row r="105" spans="2:14" ht="30" customHeight="1" x14ac:dyDescent="0.2">
      <c r="B105" s="198"/>
      <c r="C105" s="208"/>
      <c r="D105" s="199"/>
      <c r="E105" s="210" t="s">
        <v>33</v>
      </c>
      <c r="F105" s="400"/>
      <c r="G105" s="401"/>
      <c r="H105" s="116">
        <f>SUM(H91:H104)</f>
        <v>28548.299999999996</v>
      </c>
      <c r="I105" s="151">
        <f t="shared" ref="I105:L105" si="65">SUM(I91:I104)</f>
        <v>0</v>
      </c>
      <c r="J105" s="116">
        <f t="shared" si="65"/>
        <v>133.74</v>
      </c>
      <c r="K105" s="116">
        <f t="shared" si="65"/>
        <v>133.74</v>
      </c>
      <c r="L105" s="116">
        <f t="shared" si="65"/>
        <v>28414.559999999998</v>
      </c>
      <c r="M105" s="120">
        <f t="shared" ref="M105" si="66">SUM(M91:M103)</f>
        <v>0</v>
      </c>
      <c r="N105" s="47"/>
    </row>
    <row r="106" spans="2:14" ht="30" customHeight="1" x14ac:dyDescent="0.2">
      <c r="B106" s="402" t="s">
        <v>53</v>
      </c>
      <c r="C106" s="403"/>
      <c r="D106" s="404"/>
      <c r="E106" s="404"/>
      <c r="F106" s="404"/>
      <c r="G106" s="404"/>
      <c r="H106" s="404"/>
      <c r="I106" s="404"/>
      <c r="J106" s="404"/>
      <c r="K106" s="404"/>
      <c r="L106" s="404"/>
      <c r="M106" s="405"/>
      <c r="N106" s="47"/>
    </row>
    <row r="107" spans="2:14" ht="30" customHeight="1" x14ac:dyDescent="0.2">
      <c r="B107" s="198">
        <v>78</v>
      </c>
      <c r="C107" s="208" t="s">
        <v>340</v>
      </c>
      <c r="D107" s="199" t="s">
        <v>184</v>
      </c>
      <c r="E107" s="199" t="s">
        <v>56</v>
      </c>
      <c r="F107" s="200">
        <v>15</v>
      </c>
      <c r="G107" s="193">
        <v>128.684</v>
      </c>
      <c r="H107" s="115">
        <f t="shared" ref="H107:H120" si="67">ROUND(F107*G107,2)</f>
        <v>1930.26</v>
      </c>
      <c r="I107" s="150">
        <v>0</v>
      </c>
      <c r="J107" s="150">
        <f t="shared" ref="J107:J120" si="68">IF(G107&lt;=248.93,0,(IFERROR(IF(ROUND((((H107/F107*30.4)-VLOOKUP((H107/F107*30.4),TARIFA,1))*VLOOKUP((H107/F107*30.4),TARIFA,3)+VLOOKUP((H107/F107*30.4),TARIFA,2)-VLOOKUP((H107/F107*30.4),SUBSIDIO,2))/30.4*F107,2)&gt;0,ROUND((((H107/F107*30.4)-VLOOKUP((H107/F107*30.4),TARIFA,1))*VLOOKUP((H107/F107*30.4),TARIFA,3)+VLOOKUP((H107/F107*30.4),TARIFA,2)-VLOOKUP((H107/F107*30.4),SUBSIDIO,2))/30.4*F107,2),0),0)))</f>
        <v>0</v>
      </c>
      <c r="K107" s="150">
        <f t="shared" ref="K107:K120" si="69">J107</f>
        <v>0</v>
      </c>
      <c r="L107" s="115">
        <f t="shared" ref="L107:L120" si="70">H107+I107-K107</f>
        <v>1930.26</v>
      </c>
      <c r="M107" s="119"/>
      <c r="N107" s="47"/>
    </row>
    <row r="108" spans="2:14" ht="30" customHeight="1" x14ac:dyDescent="0.2">
      <c r="B108" s="198">
        <v>79</v>
      </c>
      <c r="C108" s="208" t="s">
        <v>340</v>
      </c>
      <c r="D108" s="199" t="s">
        <v>160</v>
      </c>
      <c r="E108" s="199" t="s">
        <v>117</v>
      </c>
      <c r="F108" s="200">
        <v>15</v>
      </c>
      <c r="G108" s="193">
        <v>91.233999999999995</v>
      </c>
      <c r="H108" s="115">
        <f t="shared" si="67"/>
        <v>1368.51</v>
      </c>
      <c r="I108" s="150">
        <v>0</v>
      </c>
      <c r="J108" s="150">
        <f t="shared" si="68"/>
        <v>0</v>
      </c>
      <c r="K108" s="150">
        <f t="shared" si="69"/>
        <v>0</v>
      </c>
      <c r="L108" s="115">
        <f t="shared" si="70"/>
        <v>1368.51</v>
      </c>
      <c r="M108" s="119"/>
      <c r="N108" s="47"/>
    </row>
    <row r="109" spans="2:14" ht="30" customHeight="1" x14ac:dyDescent="0.2">
      <c r="B109" s="198">
        <v>80</v>
      </c>
      <c r="C109" s="208" t="s">
        <v>340</v>
      </c>
      <c r="D109" s="199" t="s">
        <v>223</v>
      </c>
      <c r="E109" s="199" t="s">
        <v>117</v>
      </c>
      <c r="F109" s="200">
        <v>15</v>
      </c>
      <c r="G109" s="193">
        <v>91.233999999999995</v>
      </c>
      <c r="H109" s="115">
        <f t="shared" si="67"/>
        <v>1368.51</v>
      </c>
      <c r="I109" s="150">
        <v>0</v>
      </c>
      <c r="J109" s="150">
        <f t="shared" si="68"/>
        <v>0</v>
      </c>
      <c r="K109" s="150">
        <f t="shared" si="69"/>
        <v>0</v>
      </c>
      <c r="L109" s="115">
        <f t="shared" si="70"/>
        <v>1368.51</v>
      </c>
      <c r="M109" s="119"/>
      <c r="N109" s="47"/>
    </row>
    <row r="110" spans="2:14" ht="30" customHeight="1" x14ac:dyDescent="0.2">
      <c r="B110" s="198">
        <v>81</v>
      </c>
      <c r="C110" s="208" t="s">
        <v>340</v>
      </c>
      <c r="D110" s="199" t="s">
        <v>378</v>
      </c>
      <c r="E110" s="199" t="s">
        <v>65</v>
      </c>
      <c r="F110" s="200">
        <v>15</v>
      </c>
      <c r="G110" s="193">
        <v>195</v>
      </c>
      <c r="H110" s="115">
        <f t="shared" si="67"/>
        <v>2925</v>
      </c>
      <c r="I110" s="150">
        <v>0</v>
      </c>
      <c r="J110" s="150">
        <f t="shared" si="68"/>
        <v>0</v>
      </c>
      <c r="K110" s="150">
        <f>J110</f>
        <v>0</v>
      </c>
      <c r="L110" s="115">
        <f>H110+I110-K110</f>
        <v>2925</v>
      </c>
      <c r="M110" s="119"/>
      <c r="N110" s="47"/>
    </row>
    <row r="111" spans="2:14" ht="30" customHeight="1" x14ac:dyDescent="0.2">
      <c r="B111" s="198">
        <v>82</v>
      </c>
      <c r="C111" s="208" t="s">
        <v>340</v>
      </c>
      <c r="D111" s="199" t="s">
        <v>271</v>
      </c>
      <c r="E111" s="199" t="s">
        <v>65</v>
      </c>
      <c r="F111" s="200">
        <v>15</v>
      </c>
      <c r="G111" s="193">
        <v>193.2</v>
      </c>
      <c r="H111" s="115">
        <f t="shared" ref="H111" si="71">ROUND(F111*G111,2)</f>
        <v>2898</v>
      </c>
      <c r="I111" s="150">
        <v>0</v>
      </c>
      <c r="J111" s="150">
        <f t="shared" ref="J111" si="72">IF(G111&lt;=248.93,0,(IFERROR(IF(ROUND((((H111/F111*30.4)-VLOOKUP((H111/F111*30.4),TARIFA,1))*VLOOKUP((H111/F111*30.4),TARIFA,3)+VLOOKUP((H111/F111*30.4),TARIFA,2)-VLOOKUP((H111/F111*30.4),SUBSIDIO,2))/30.4*F111,2)&gt;0,ROUND((((H111/F111*30.4)-VLOOKUP((H111/F111*30.4),TARIFA,1))*VLOOKUP((H111/F111*30.4),TARIFA,3)+VLOOKUP((H111/F111*30.4),TARIFA,2)-VLOOKUP((H111/F111*30.4),SUBSIDIO,2))/30.4*F111,2),0),0)))</f>
        <v>0</v>
      </c>
      <c r="K111" s="150">
        <f>J111</f>
        <v>0</v>
      </c>
      <c r="L111" s="115">
        <f>H111+I111-K111</f>
        <v>2898</v>
      </c>
      <c r="M111" s="119"/>
      <c r="N111" s="47"/>
    </row>
    <row r="112" spans="2:14" ht="30" customHeight="1" x14ac:dyDescent="0.2">
      <c r="B112" s="198">
        <v>83</v>
      </c>
      <c r="C112" s="208" t="s">
        <v>340</v>
      </c>
      <c r="D112" s="199" t="s">
        <v>379</v>
      </c>
      <c r="E112" s="199" t="s">
        <v>67</v>
      </c>
      <c r="F112" s="200">
        <v>15</v>
      </c>
      <c r="G112" s="193">
        <v>111.819</v>
      </c>
      <c r="H112" s="115">
        <f t="shared" si="67"/>
        <v>1677.29</v>
      </c>
      <c r="I112" s="150">
        <v>0</v>
      </c>
      <c r="J112" s="150">
        <f t="shared" si="68"/>
        <v>0</v>
      </c>
      <c r="K112" s="150">
        <f t="shared" si="69"/>
        <v>0</v>
      </c>
      <c r="L112" s="115">
        <f t="shared" si="70"/>
        <v>1677.29</v>
      </c>
      <c r="M112" s="119"/>
      <c r="N112" s="47"/>
    </row>
    <row r="113" spans="1:14" ht="30" customHeight="1" x14ac:dyDescent="0.2">
      <c r="B113" s="198">
        <v>84</v>
      </c>
      <c r="C113" s="208" t="s">
        <v>340</v>
      </c>
      <c r="D113" s="199" t="s">
        <v>224</v>
      </c>
      <c r="E113" s="199" t="s">
        <v>67</v>
      </c>
      <c r="F113" s="200">
        <v>15</v>
      </c>
      <c r="G113" s="193">
        <v>92.356999999999999</v>
      </c>
      <c r="H113" s="115">
        <f t="shared" si="67"/>
        <v>1385.36</v>
      </c>
      <c r="I113" s="150">
        <v>0</v>
      </c>
      <c r="J113" s="150">
        <f t="shared" si="68"/>
        <v>0</v>
      </c>
      <c r="K113" s="150">
        <f t="shared" si="69"/>
        <v>0</v>
      </c>
      <c r="L113" s="115">
        <f t="shared" si="70"/>
        <v>1385.36</v>
      </c>
      <c r="M113" s="119"/>
      <c r="N113" s="47"/>
    </row>
    <row r="114" spans="1:14" ht="30" customHeight="1" x14ac:dyDescent="0.2">
      <c r="B114" s="198">
        <v>85</v>
      </c>
      <c r="C114" s="208" t="s">
        <v>340</v>
      </c>
      <c r="D114" s="199" t="s">
        <v>151</v>
      </c>
      <c r="E114" s="199" t="s">
        <v>67</v>
      </c>
      <c r="F114" s="200">
        <v>15</v>
      </c>
      <c r="G114" s="193">
        <v>110.5085</v>
      </c>
      <c r="H114" s="115">
        <f t="shared" si="67"/>
        <v>1657.63</v>
      </c>
      <c r="I114" s="150">
        <v>0</v>
      </c>
      <c r="J114" s="150">
        <f t="shared" si="68"/>
        <v>0</v>
      </c>
      <c r="K114" s="150">
        <f t="shared" si="69"/>
        <v>0</v>
      </c>
      <c r="L114" s="115">
        <f t="shared" si="70"/>
        <v>1657.63</v>
      </c>
      <c r="M114" s="119"/>
      <c r="N114" s="47"/>
    </row>
    <row r="115" spans="1:14" ht="30" customHeight="1" x14ac:dyDescent="0.2">
      <c r="B115" s="198">
        <v>86</v>
      </c>
      <c r="C115" s="208" t="s">
        <v>340</v>
      </c>
      <c r="D115" s="199" t="s">
        <v>230</v>
      </c>
      <c r="E115" s="199" t="s">
        <v>71</v>
      </c>
      <c r="F115" s="200">
        <v>15</v>
      </c>
      <c r="G115" s="193">
        <v>135.1105</v>
      </c>
      <c r="H115" s="115">
        <f t="shared" si="67"/>
        <v>2026.66</v>
      </c>
      <c r="I115" s="150">
        <v>0</v>
      </c>
      <c r="J115" s="150">
        <f t="shared" si="68"/>
        <v>0</v>
      </c>
      <c r="K115" s="150">
        <f t="shared" si="69"/>
        <v>0</v>
      </c>
      <c r="L115" s="115">
        <f t="shared" si="70"/>
        <v>2026.66</v>
      </c>
      <c r="M115" s="119"/>
      <c r="N115" s="47"/>
    </row>
    <row r="116" spans="1:14" ht="30" customHeight="1" x14ac:dyDescent="0.2">
      <c r="B116" s="198">
        <v>87</v>
      </c>
      <c r="C116" s="208" t="s">
        <v>340</v>
      </c>
      <c r="D116" s="199" t="s">
        <v>229</v>
      </c>
      <c r="E116" s="199" t="s">
        <v>70</v>
      </c>
      <c r="F116" s="200">
        <v>15</v>
      </c>
      <c r="G116" s="193">
        <v>220.8</v>
      </c>
      <c r="H116" s="115">
        <f t="shared" si="67"/>
        <v>3312</v>
      </c>
      <c r="I116" s="150">
        <v>0</v>
      </c>
      <c r="J116" s="150">
        <f t="shared" si="68"/>
        <v>0</v>
      </c>
      <c r="K116" s="150">
        <f t="shared" si="69"/>
        <v>0</v>
      </c>
      <c r="L116" s="115">
        <f t="shared" si="70"/>
        <v>3312</v>
      </c>
      <c r="M116" s="119"/>
      <c r="N116" s="47"/>
    </row>
    <row r="117" spans="1:14" ht="30" customHeight="1" x14ac:dyDescent="0.2">
      <c r="B117" s="198">
        <v>88</v>
      </c>
      <c r="C117" s="208" t="s">
        <v>340</v>
      </c>
      <c r="D117" s="199" t="s">
        <v>228</v>
      </c>
      <c r="E117" s="199" t="s">
        <v>70</v>
      </c>
      <c r="F117" s="200">
        <v>15</v>
      </c>
      <c r="G117" s="193">
        <v>111.819</v>
      </c>
      <c r="H117" s="115">
        <f t="shared" si="67"/>
        <v>1677.29</v>
      </c>
      <c r="I117" s="150">
        <v>0</v>
      </c>
      <c r="J117" s="150">
        <f t="shared" si="68"/>
        <v>0</v>
      </c>
      <c r="K117" s="150">
        <f t="shared" si="69"/>
        <v>0</v>
      </c>
      <c r="L117" s="115">
        <f t="shared" si="70"/>
        <v>1677.29</v>
      </c>
      <c r="M117" s="119"/>
      <c r="N117" s="47"/>
    </row>
    <row r="118" spans="1:14" s="309" customFormat="1" ht="30" customHeight="1" x14ac:dyDescent="0.2">
      <c r="A118" s="28"/>
      <c r="B118" s="198">
        <v>89</v>
      </c>
      <c r="C118" s="208" t="s">
        <v>340</v>
      </c>
      <c r="D118" s="199" t="s">
        <v>227</v>
      </c>
      <c r="E118" s="199" t="s">
        <v>37</v>
      </c>
      <c r="F118" s="200">
        <v>15</v>
      </c>
      <c r="G118" s="193">
        <v>143.4725</v>
      </c>
      <c r="H118" s="115">
        <f t="shared" si="67"/>
        <v>2152.09</v>
      </c>
      <c r="I118" s="150">
        <v>0</v>
      </c>
      <c r="J118" s="150">
        <f t="shared" si="68"/>
        <v>0</v>
      </c>
      <c r="K118" s="150">
        <f t="shared" si="69"/>
        <v>0</v>
      </c>
      <c r="L118" s="115">
        <f t="shared" si="70"/>
        <v>2152.09</v>
      </c>
      <c r="M118" s="119"/>
      <c r="N118" s="82"/>
    </row>
    <row r="119" spans="1:14" s="309" customFormat="1" ht="30" customHeight="1" x14ac:dyDescent="0.2">
      <c r="A119" s="28"/>
      <c r="B119" s="198">
        <v>90</v>
      </c>
      <c r="C119" s="208" t="s">
        <v>340</v>
      </c>
      <c r="D119" s="199" t="s">
        <v>226</v>
      </c>
      <c r="E119" s="199" t="s">
        <v>118</v>
      </c>
      <c r="F119" s="200">
        <v>15</v>
      </c>
      <c r="G119" s="193">
        <v>138.72999999999999</v>
      </c>
      <c r="H119" s="115">
        <f t="shared" si="67"/>
        <v>2080.9499999999998</v>
      </c>
      <c r="I119" s="150">
        <v>0</v>
      </c>
      <c r="J119" s="150">
        <f t="shared" si="68"/>
        <v>0</v>
      </c>
      <c r="K119" s="150">
        <f t="shared" si="69"/>
        <v>0</v>
      </c>
      <c r="L119" s="115">
        <f t="shared" si="70"/>
        <v>2080.9499999999998</v>
      </c>
      <c r="M119" s="119"/>
      <c r="N119" s="82"/>
    </row>
    <row r="120" spans="1:14" s="309" customFormat="1" ht="30" customHeight="1" x14ac:dyDescent="0.2">
      <c r="A120" s="28"/>
      <c r="B120" s="198">
        <v>91</v>
      </c>
      <c r="C120" s="208" t="s">
        <v>340</v>
      </c>
      <c r="D120" s="199" t="s">
        <v>225</v>
      </c>
      <c r="E120" s="199" t="s">
        <v>94</v>
      </c>
      <c r="F120" s="200">
        <v>15</v>
      </c>
      <c r="G120" s="193">
        <v>111.819</v>
      </c>
      <c r="H120" s="115">
        <f t="shared" si="67"/>
        <v>1677.29</v>
      </c>
      <c r="I120" s="150">
        <v>0</v>
      </c>
      <c r="J120" s="150">
        <f t="shared" si="68"/>
        <v>0</v>
      </c>
      <c r="K120" s="150">
        <f t="shared" si="69"/>
        <v>0</v>
      </c>
      <c r="L120" s="115">
        <f t="shared" si="70"/>
        <v>1677.29</v>
      </c>
      <c r="M120" s="119"/>
      <c r="N120" s="82"/>
    </row>
    <row r="121" spans="1:14" ht="30" customHeight="1" x14ac:dyDescent="0.2">
      <c r="B121" s="198"/>
      <c r="C121" s="208"/>
      <c r="D121" s="199"/>
      <c r="E121" s="210" t="s">
        <v>33</v>
      </c>
      <c r="F121" s="400"/>
      <c r="G121" s="401"/>
      <c r="H121" s="116">
        <f>SUM(H107:H120)</f>
        <v>28136.840000000004</v>
      </c>
      <c r="I121" s="151">
        <f t="shared" ref="I121:M121" si="73">SUM(I107:I120)</f>
        <v>0</v>
      </c>
      <c r="J121" s="151">
        <f t="shared" si="73"/>
        <v>0</v>
      </c>
      <c r="K121" s="151">
        <f t="shared" si="73"/>
        <v>0</v>
      </c>
      <c r="L121" s="116">
        <f t="shared" si="73"/>
        <v>28136.840000000004</v>
      </c>
      <c r="M121" s="120">
        <f t="shared" si="73"/>
        <v>0</v>
      </c>
      <c r="N121" s="47"/>
    </row>
    <row r="122" spans="1:14" ht="30" customHeight="1" x14ac:dyDescent="0.2">
      <c r="B122" s="402" t="s">
        <v>55</v>
      </c>
      <c r="C122" s="403"/>
      <c r="D122" s="404"/>
      <c r="E122" s="404"/>
      <c r="F122" s="404"/>
      <c r="G122" s="404"/>
      <c r="H122" s="404"/>
      <c r="I122" s="404"/>
      <c r="J122" s="404"/>
      <c r="K122" s="404"/>
      <c r="L122" s="404"/>
      <c r="M122" s="405"/>
      <c r="N122" s="47"/>
    </row>
    <row r="123" spans="1:14" ht="30" customHeight="1" x14ac:dyDescent="0.2">
      <c r="B123" s="198">
        <v>92</v>
      </c>
      <c r="C123" s="208" t="s">
        <v>340</v>
      </c>
      <c r="D123" s="199" t="s">
        <v>231</v>
      </c>
      <c r="E123" s="199" t="s">
        <v>116</v>
      </c>
      <c r="F123" s="200">
        <v>15</v>
      </c>
      <c r="G123" s="211">
        <v>186.2664</v>
      </c>
      <c r="H123" s="115">
        <f t="shared" ref="H123:H127" si="74">ROUND(F123*G123,2)</f>
        <v>2794</v>
      </c>
      <c r="I123" s="150">
        <v>0</v>
      </c>
      <c r="J123" s="150">
        <f t="shared" ref="J123:J128" si="75">IF(G123&lt;=248.93,0,(IFERROR(IF(ROUND((((H123/F123*30.4)-VLOOKUP((H123/F123*30.4),TARIFA,1))*VLOOKUP((H123/F123*30.4),TARIFA,3)+VLOOKUP((H123/F123*30.4),TARIFA,2)-VLOOKUP((H123/F123*30.4),SUBSIDIO,2))/30.4*F123,2)&gt;0,ROUND((((H123/F123*30.4)-VLOOKUP((H123/F123*30.4),TARIFA,1))*VLOOKUP((H123/F123*30.4),TARIFA,3)+VLOOKUP((H123/F123*30.4),TARIFA,2)-VLOOKUP((H123/F123*30.4),SUBSIDIO,2))/30.4*F123,2),0),0)))</f>
        <v>0</v>
      </c>
      <c r="K123" s="150">
        <f t="shared" ref="K123:K127" si="76">J123</f>
        <v>0</v>
      </c>
      <c r="L123" s="115">
        <f t="shared" ref="L123:L128" si="77">H123+I123-K123</f>
        <v>2794</v>
      </c>
      <c r="M123" s="119"/>
      <c r="N123" s="47"/>
    </row>
    <row r="124" spans="1:14" ht="30" customHeight="1" x14ac:dyDescent="0.2">
      <c r="B124" s="198">
        <v>93</v>
      </c>
      <c r="C124" s="208" t="s">
        <v>340</v>
      </c>
      <c r="D124" s="199" t="s">
        <v>232</v>
      </c>
      <c r="E124" s="199" t="s">
        <v>56</v>
      </c>
      <c r="F124" s="200">
        <v>15</v>
      </c>
      <c r="G124" s="193">
        <v>143.4725</v>
      </c>
      <c r="H124" s="115">
        <f t="shared" si="74"/>
        <v>2152.09</v>
      </c>
      <c r="I124" s="150">
        <v>0</v>
      </c>
      <c r="J124" s="150">
        <f t="shared" si="75"/>
        <v>0</v>
      </c>
      <c r="K124" s="150">
        <f t="shared" si="76"/>
        <v>0</v>
      </c>
      <c r="L124" s="115">
        <f t="shared" si="77"/>
        <v>2152.09</v>
      </c>
      <c r="M124" s="119"/>
      <c r="N124" s="47"/>
    </row>
    <row r="125" spans="1:14" ht="30" customHeight="1" x14ac:dyDescent="0.2">
      <c r="B125" s="198">
        <v>94</v>
      </c>
      <c r="C125" s="208" t="s">
        <v>340</v>
      </c>
      <c r="D125" s="199" t="s">
        <v>233</v>
      </c>
      <c r="E125" s="199" t="s">
        <v>118</v>
      </c>
      <c r="F125" s="200">
        <v>15</v>
      </c>
      <c r="G125" s="211">
        <v>261.8</v>
      </c>
      <c r="H125" s="115">
        <f t="shared" si="74"/>
        <v>3927</v>
      </c>
      <c r="I125" s="150">
        <v>0</v>
      </c>
      <c r="J125" s="115">
        <f t="shared" si="75"/>
        <v>78.36</v>
      </c>
      <c r="K125" s="115">
        <f t="shared" si="76"/>
        <v>78.36</v>
      </c>
      <c r="L125" s="115">
        <f t="shared" si="77"/>
        <v>3848.64</v>
      </c>
      <c r="M125" s="119"/>
      <c r="N125" s="47"/>
    </row>
    <row r="126" spans="1:14" ht="30" customHeight="1" x14ac:dyDescent="0.2">
      <c r="B126" s="198">
        <v>95</v>
      </c>
      <c r="C126" s="208" t="s">
        <v>340</v>
      </c>
      <c r="D126" s="199" t="s">
        <v>234</v>
      </c>
      <c r="E126" s="199" t="s">
        <v>69</v>
      </c>
      <c r="F126" s="200">
        <v>15</v>
      </c>
      <c r="G126" s="211">
        <v>131.18</v>
      </c>
      <c r="H126" s="115">
        <f t="shared" si="74"/>
        <v>1967.7</v>
      </c>
      <c r="I126" s="150">
        <v>0</v>
      </c>
      <c r="J126" s="150">
        <f t="shared" si="75"/>
        <v>0</v>
      </c>
      <c r="K126" s="150">
        <f t="shared" si="76"/>
        <v>0</v>
      </c>
      <c r="L126" s="115">
        <f t="shared" si="77"/>
        <v>1967.7</v>
      </c>
      <c r="M126" s="119"/>
      <c r="N126" s="47"/>
    </row>
    <row r="127" spans="1:14" ht="30" customHeight="1" x14ac:dyDescent="0.2">
      <c r="B127" s="198">
        <v>96</v>
      </c>
      <c r="C127" s="208" t="s">
        <v>340</v>
      </c>
      <c r="D127" s="199" t="s">
        <v>343</v>
      </c>
      <c r="E127" s="199" t="s">
        <v>341</v>
      </c>
      <c r="F127" s="200">
        <v>15</v>
      </c>
      <c r="G127" s="211">
        <v>110.384</v>
      </c>
      <c r="H127" s="115">
        <f t="shared" si="74"/>
        <v>1655.76</v>
      </c>
      <c r="I127" s="150">
        <v>0</v>
      </c>
      <c r="J127" s="150">
        <f t="shared" si="75"/>
        <v>0</v>
      </c>
      <c r="K127" s="150">
        <f t="shared" si="76"/>
        <v>0</v>
      </c>
      <c r="L127" s="115">
        <f t="shared" si="77"/>
        <v>1655.76</v>
      </c>
      <c r="M127" s="119"/>
      <c r="N127" s="47"/>
    </row>
    <row r="128" spans="1:14" ht="44.45" customHeight="1" x14ac:dyDescent="0.2">
      <c r="B128" s="198">
        <v>97</v>
      </c>
      <c r="C128" s="208" t="s">
        <v>340</v>
      </c>
      <c r="D128" s="199" t="s">
        <v>372</v>
      </c>
      <c r="E128" s="199" t="s">
        <v>373</v>
      </c>
      <c r="F128" s="200">
        <v>15</v>
      </c>
      <c r="G128" s="211">
        <v>103.5825</v>
      </c>
      <c r="H128" s="115">
        <f t="shared" ref="H128" si="78">ROUND(F128*G128,2)</f>
        <v>1553.74</v>
      </c>
      <c r="I128" s="150">
        <v>0</v>
      </c>
      <c r="J128" s="150">
        <f t="shared" si="75"/>
        <v>0</v>
      </c>
      <c r="K128" s="150">
        <f t="shared" ref="K128" si="79">J128</f>
        <v>0</v>
      </c>
      <c r="L128" s="115">
        <f t="shared" si="77"/>
        <v>1553.74</v>
      </c>
      <c r="M128" s="119"/>
      <c r="N128" s="47"/>
    </row>
    <row r="129" spans="1:14" ht="30" customHeight="1" x14ac:dyDescent="0.2">
      <c r="B129" s="198"/>
      <c r="C129" s="208"/>
      <c r="D129" s="199"/>
      <c r="E129" s="210" t="s">
        <v>33</v>
      </c>
      <c r="F129" s="400"/>
      <c r="G129" s="401"/>
      <c r="H129" s="116">
        <f>SUM(H123:H128)</f>
        <v>14050.29</v>
      </c>
      <c r="I129" s="151">
        <f t="shared" ref="I129:K129" si="80">SUM(I123:I128)</f>
        <v>0</v>
      </c>
      <c r="J129" s="116">
        <f t="shared" si="80"/>
        <v>78.36</v>
      </c>
      <c r="K129" s="116">
        <f t="shared" si="80"/>
        <v>78.36</v>
      </c>
      <c r="L129" s="116">
        <f>SUM(L123:L128)</f>
        <v>13971.93</v>
      </c>
      <c r="M129" s="120">
        <f>SUM(M123:M126)</f>
        <v>0</v>
      </c>
      <c r="N129" s="47"/>
    </row>
    <row r="130" spans="1:14" ht="30" customHeight="1" x14ac:dyDescent="0.2">
      <c r="B130" s="402" t="s">
        <v>57</v>
      </c>
      <c r="C130" s="403"/>
      <c r="D130" s="404"/>
      <c r="E130" s="404"/>
      <c r="F130" s="404"/>
      <c r="G130" s="404"/>
      <c r="H130" s="404"/>
      <c r="I130" s="404"/>
      <c r="J130" s="404"/>
      <c r="K130" s="404"/>
      <c r="L130" s="404"/>
      <c r="M130" s="405"/>
      <c r="N130" s="47"/>
    </row>
    <row r="131" spans="1:14" s="4" customFormat="1" ht="30" customHeight="1" x14ac:dyDescent="0.2">
      <c r="B131" s="217">
        <v>98</v>
      </c>
      <c r="C131" s="218" t="s">
        <v>340</v>
      </c>
      <c r="D131" s="199" t="s">
        <v>235</v>
      </c>
      <c r="E131" s="215" t="s">
        <v>68</v>
      </c>
      <c r="F131" s="62">
        <v>15</v>
      </c>
      <c r="G131" s="219">
        <v>203.8664</v>
      </c>
      <c r="H131" s="115">
        <f t="shared" ref="H131:H134" si="81">ROUND(F131*G131,2)</f>
        <v>3058</v>
      </c>
      <c r="I131" s="150">
        <v>0</v>
      </c>
      <c r="J131" s="150">
        <f>IF(G131&lt;=248.93,0,(IFERROR(IF(ROUND((((H131/F131*30.4)-VLOOKUP((H131/F131*30.4),TARIFA,1))*VLOOKUP((H131/F131*30.4),TARIFA,3)+VLOOKUP((H131/F131*30.4),TARIFA,2)-VLOOKUP((H131/F131*30.4),SUBSIDIO,2))/30.4*F131,2)&gt;0,ROUND((((H131/F131*30.4)-VLOOKUP((H131/F131*30.4),TARIFA,1))*VLOOKUP((H131/F131*30.4),TARIFA,3)+VLOOKUP((H131/F131*30.4),TARIFA,2)-VLOOKUP((H131/F131*30.4),SUBSIDIO,2))/30.4*F131,2),0),0)))</f>
        <v>0</v>
      </c>
      <c r="K131" s="150">
        <f>J131</f>
        <v>0</v>
      </c>
      <c r="L131" s="115">
        <f>H131+I131-K131</f>
        <v>3058</v>
      </c>
      <c r="M131" s="119"/>
      <c r="N131" s="47"/>
    </row>
    <row r="132" spans="1:14" s="4" customFormat="1" ht="30" customHeight="1" x14ac:dyDescent="0.2">
      <c r="B132" s="217">
        <v>99</v>
      </c>
      <c r="C132" s="218" t="s">
        <v>340</v>
      </c>
      <c r="D132" s="199" t="s">
        <v>236</v>
      </c>
      <c r="E132" s="215" t="s">
        <v>42</v>
      </c>
      <c r="F132" s="62">
        <v>15</v>
      </c>
      <c r="G132" s="219">
        <v>57.544499999999999</v>
      </c>
      <c r="H132" s="115">
        <f t="shared" si="81"/>
        <v>863.17</v>
      </c>
      <c r="I132" s="150">
        <v>0</v>
      </c>
      <c r="J132" s="150">
        <f>IF(G132&lt;=248.93,0,(IFERROR(IF(ROUND((((H132/F132*30.4)-VLOOKUP((H132/F132*30.4),TARIFA,1))*VLOOKUP((H132/F132*30.4),TARIFA,3)+VLOOKUP((H132/F132*30.4),TARIFA,2)-VLOOKUP((H132/F132*30.4),SUBSIDIO,2))/30.4*F132,2)&gt;0,ROUND((((H132/F132*30.4)-VLOOKUP((H132/F132*30.4),TARIFA,1))*VLOOKUP((H132/F132*30.4),TARIFA,3)+VLOOKUP((H132/F132*30.4),TARIFA,2)-VLOOKUP((H132/F132*30.4),SUBSIDIO,2))/30.4*F132,2),0),0)))</f>
        <v>0</v>
      </c>
      <c r="K132" s="150">
        <f>J132</f>
        <v>0</v>
      </c>
      <c r="L132" s="115">
        <f>H132+I132-K132</f>
        <v>863.17</v>
      </c>
      <c r="M132" s="119"/>
      <c r="N132" s="47"/>
    </row>
    <row r="133" spans="1:14" s="5" customFormat="1" ht="30" customHeight="1" x14ac:dyDescent="0.2">
      <c r="B133" s="198">
        <v>100</v>
      </c>
      <c r="C133" s="208" t="s">
        <v>340</v>
      </c>
      <c r="D133" s="215" t="s">
        <v>237</v>
      </c>
      <c r="E133" s="199" t="s">
        <v>93</v>
      </c>
      <c r="F133" s="200">
        <v>15</v>
      </c>
      <c r="G133" s="193">
        <v>277.33300000000003</v>
      </c>
      <c r="H133" s="115">
        <f t="shared" si="81"/>
        <v>4160</v>
      </c>
      <c r="I133" s="150">
        <v>0</v>
      </c>
      <c r="J133" s="115">
        <f>IF(G133&lt;=248.93,0,(IFERROR(IF(ROUND((((H133/F133*30.4)-VLOOKUP((H133/F133*30.4),TARIFA,1))*VLOOKUP((H133/F133*30.4),TARIFA,3)+VLOOKUP((H133/F133*30.4),TARIFA,2)-VLOOKUP((H133/F133*30.4),SUBSIDIO,2))/30.4*F133,2)&gt;0,ROUND((((H133/F133*30.4)-VLOOKUP((H133/F133*30.4),TARIFA,1))*VLOOKUP((H133/F133*30.4),TARIFA,3)+VLOOKUP((H133/F133*30.4),TARIFA,2)-VLOOKUP((H133/F133*30.4),SUBSIDIO,2))/30.4*F133,2),0),0)))</f>
        <v>103.71</v>
      </c>
      <c r="K133" s="115">
        <f>J133</f>
        <v>103.71</v>
      </c>
      <c r="L133" s="115">
        <f>H133+I133-K133</f>
        <v>4056.29</v>
      </c>
      <c r="M133" s="119"/>
      <c r="N133" s="47"/>
    </row>
    <row r="134" spans="1:14" s="5" customFormat="1" ht="30" customHeight="1" x14ac:dyDescent="0.2">
      <c r="B134" s="198">
        <v>101</v>
      </c>
      <c r="C134" s="208" t="s">
        <v>340</v>
      </c>
      <c r="D134" s="215" t="s">
        <v>163</v>
      </c>
      <c r="E134" s="199" t="s">
        <v>54</v>
      </c>
      <c r="F134" s="200">
        <v>15</v>
      </c>
      <c r="G134" s="216">
        <v>103.64449999999999</v>
      </c>
      <c r="H134" s="115">
        <f t="shared" si="81"/>
        <v>1554.67</v>
      </c>
      <c r="I134" s="150">
        <v>0</v>
      </c>
      <c r="J134" s="150">
        <f>IF(G134&lt;=248.93,0,(IFERROR(IF(ROUND((((H134/F134*30.4)-VLOOKUP((H134/F134*30.4),TARIFA,1))*VLOOKUP((H134/F134*30.4),TARIFA,3)+VLOOKUP((H134/F134*30.4),TARIFA,2)-VLOOKUP((H134/F134*30.4),SUBSIDIO,2))/30.4*F134,2)&gt;0,ROUND((((H134/F134*30.4)-VLOOKUP((H134/F134*30.4),TARIFA,1))*VLOOKUP((H134/F134*30.4),TARIFA,3)+VLOOKUP((H134/F134*30.4),TARIFA,2)-VLOOKUP((H134/F134*30.4),SUBSIDIO,2))/30.4*F134,2),0),0)))</f>
        <v>0</v>
      </c>
      <c r="K134" s="150">
        <f>J134</f>
        <v>0</v>
      </c>
      <c r="L134" s="115">
        <f>H134+I134-K134</f>
        <v>1554.67</v>
      </c>
      <c r="M134" s="119"/>
      <c r="N134" s="47"/>
    </row>
    <row r="135" spans="1:14" ht="30" customHeight="1" x14ac:dyDescent="0.2">
      <c r="B135" s="198"/>
      <c r="C135" s="208"/>
      <c r="D135" s="199"/>
      <c r="E135" s="210" t="s">
        <v>33</v>
      </c>
      <c r="F135" s="400"/>
      <c r="G135" s="401"/>
      <c r="H135" s="116">
        <f>SUM(H131:H134)</f>
        <v>9635.84</v>
      </c>
      <c r="I135" s="151">
        <f t="shared" ref="I135:M135" si="82">SUM(I131:I134)</f>
        <v>0</v>
      </c>
      <c r="J135" s="116">
        <f t="shared" si="82"/>
        <v>103.71</v>
      </c>
      <c r="K135" s="116">
        <f t="shared" si="82"/>
        <v>103.71</v>
      </c>
      <c r="L135" s="116">
        <f>SUM(L131:L134)</f>
        <v>9532.130000000001</v>
      </c>
      <c r="M135" s="120">
        <f t="shared" si="82"/>
        <v>0</v>
      </c>
      <c r="N135" s="47"/>
    </row>
    <row r="136" spans="1:14" ht="30" customHeight="1" x14ac:dyDescent="0.2">
      <c r="B136" s="402" t="s">
        <v>73</v>
      </c>
      <c r="C136" s="403"/>
      <c r="D136" s="404"/>
      <c r="E136" s="404"/>
      <c r="F136" s="404"/>
      <c r="G136" s="404"/>
      <c r="H136" s="404"/>
      <c r="I136" s="404"/>
      <c r="J136" s="404"/>
      <c r="K136" s="404"/>
      <c r="L136" s="404"/>
      <c r="M136" s="405"/>
      <c r="N136" s="47"/>
    </row>
    <row r="137" spans="1:14" ht="30" customHeight="1" x14ac:dyDescent="0.2">
      <c r="B137" s="198">
        <v>102</v>
      </c>
      <c r="C137" s="208"/>
      <c r="D137" s="199" t="s">
        <v>238</v>
      </c>
      <c r="E137" s="199" t="s">
        <v>60</v>
      </c>
      <c r="F137" s="200">
        <v>15</v>
      </c>
      <c r="G137" s="193">
        <v>270.39999999999998</v>
      </c>
      <c r="H137" s="115">
        <f>ROUND(F137*G137,2)</f>
        <v>4056</v>
      </c>
      <c r="I137" s="150">
        <v>0</v>
      </c>
      <c r="J137" s="115">
        <f>IF(G137&lt;=248.93,0,(IFERROR(IF(ROUND((((H137/F137*30.4)-VLOOKUP((H137/F137*30.4),TARIFA,1))*VLOOKUP((H137/F137*30.4),TARIFA,3)+VLOOKUP((H137/F137*30.4),TARIFA,2)-VLOOKUP((H137/F137*30.4),SUBSIDIO,2))/30.4*F137,2)&gt;0,ROUND((((H137/F137*30.4)-VLOOKUP((H137/F137*30.4),TARIFA,1))*VLOOKUP((H137/F137*30.4),TARIFA,3)+VLOOKUP((H137/F137*30.4),TARIFA,2)-VLOOKUP((H137/F137*30.4),SUBSIDIO,2))/30.4*F137,2),0),0)))</f>
        <v>92.4</v>
      </c>
      <c r="K137" s="115">
        <f>J137</f>
        <v>92.4</v>
      </c>
      <c r="L137" s="115">
        <f>H137+I137-K137</f>
        <v>3963.6</v>
      </c>
      <c r="M137" s="119"/>
      <c r="N137" s="47"/>
    </row>
    <row r="138" spans="1:14" ht="30" customHeight="1" x14ac:dyDescent="0.2">
      <c r="B138" s="198"/>
      <c r="C138" s="208"/>
      <c r="D138" s="199"/>
      <c r="E138" s="210" t="s">
        <v>33</v>
      </c>
      <c r="F138" s="399"/>
      <c r="G138" s="401"/>
      <c r="H138" s="116">
        <f t="shared" ref="H138:M138" si="83">SUM(H137:H137)</f>
        <v>4056</v>
      </c>
      <c r="I138" s="151">
        <f t="shared" si="83"/>
        <v>0</v>
      </c>
      <c r="J138" s="116">
        <f t="shared" si="83"/>
        <v>92.4</v>
      </c>
      <c r="K138" s="116">
        <f t="shared" si="83"/>
        <v>92.4</v>
      </c>
      <c r="L138" s="116">
        <f t="shared" si="83"/>
        <v>3963.6</v>
      </c>
      <c r="M138" s="120">
        <f t="shared" si="83"/>
        <v>0</v>
      </c>
      <c r="N138" s="47"/>
    </row>
    <row r="139" spans="1:14" ht="30" customHeight="1" x14ac:dyDescent="0.2">
      <c r="B139" s="409" t="s">
        <v>103</v>
      </c>
      <c r="C139" s="410"/>
      <c r="D139" s="411"/>
      <c r="E139" s="411"/>
      <c r="F139" s="411"/>
      <c r="G139" s="411"/>
      <c r="H139" s="411"/>
      <c r="I139" s="411"/>
      <c r="J139" s="411"/>
      <c r="K139" s="411"/>
      <c r="L139" s="411"/>
      <c r="M139" s="412"/>
      <c r="N139" s="47"/>
    </row>
    <row r="140" spans="1:14" s="5" customFormat="1" ht="30" customHeight="1" x14ac:dyDescent="0.2">
      <c r="B140" s="198">
        <v>103</v>
      </c>
      <c r="C140" s="208" t="s">
        <v>340</v>
      </c>
      <c r="D140" s="199" t="s">
        <v>239</v>
      </c>
      <c r="E140" s="199" t="s">
        <v>42</v>
      </c>
      <c r="F140" s="200">
        <v>15</v>
      </c>
      <c r="G140" s="211">
        <v>277.33300000000003</v>
      </c>
      <c r="H140" s="115">
        <f>ROUND(F140*G140,2)</f>
        <v>4160</v>
      </c>
      <c r="I140" s="150">
        <v>0</v>
      </c>
      <c r="J140" s="115">
        <f>IF(G140&lt;=248.93,0,(IFERROR(IF(ROUND((((H140/F140*30.4)-VLOOKUP((H140/F140*30.4),TARIFA,1))*VLOOKUP((H140/F140*30.4),TARIFA,3)+VLOOKUP((H140/F140*30.4),TARIFA,2)-VLOOKUP((H140/F140*30.4),SUBSIDIO,2))/30.4*F140,2)&gt;0,ROUND((((H140/F140*30.4)-VLOOKUP((H140/F140*30.4),TARIFA,1))*VLOOKUP((H140/F140*30.4),TARIFA,3)+VLOOKUP((H140/F140*30.4),TARIFA,2)-VLOOKUP((H140/F140*30.4),SUBSIDIO,2))/30.4*F140,2),0),0)))</f>
        <v>103.71</v>
      </c>
      <c r="K140" s="115">
        <f>J140</f>
        <v>103.71</v>
      </c>
      <c r="L140" s="115">
        <f>H140+I140-K140</f>
        <v>4056.29</v>
      </c>
      <c r="M140" s="119"/>
      <c r="N140" s="47"/>
    </row>
    <row r="141" spans="1:14" ht="30" customHeight="1" x14ac:dyDescent="0.2">
      <c r="B141" s="198"/>
      <c r="C141" s="208"/>
      <c r="D141" s="199"/>
      <c r="E141" s="210" t="s">
        <v>33</v>
      </c>
      <c r="F141" s="399"/>
      <c r="G141" s="401"/>
      <c r="H141" s="116">
        <f t="shared" ref="H141:M141" si="84">SUM(H140:H140)</f>
        <v>4160</v>
      </c>
      <c r="I141" s="151">
        <f t="shared" si="84"/>
        <v>0</v>
      </c>
      <c r="J141" s="116">
        <f t="shared" si="84"/>
        <v>103.71</v>
      </c>
      <c r="K141" s="116">
        <f t="shared" si="84"/>
        <v>103.71</v>
      </c>
      <c r="L141" s="116">
        <f t="shared" si="84"/>
        <v>4056.29</v>
      </c>
      <c r="M141" s="120">
        <f t="shared" si="84"/>
        <v>0</v>
      </c>
      <c r="N141" s="47"/>
    </row>
    <row r="142" spans="1:14" ht="30" customHeight="1" x14ac:dyDescent="0.2">
      <c r="B142" s="222"/>
      <c r="C142" s="220"/>
      <c r="D142" s="223"/>
      <c r="E142" s="224"/>
      <c r="F142" s="220"/>
      <c r="G142" s="220"/>
      <c r="H142" s="220"/>
      <c r="I142" s="220"/>
      <c r="J142" s="220"/>
      <c r="K142" s="220"/>
      <c r="L142" s="220"/>
      <c r="M142" s="221"/>
      <c r="N142" s="47"/>
    </row>
    <row r="143" spans="1:14" s="80" customFormat="1" ht="30" customHeight="1" x14ac:dyDescent="0.2">
      <c r="A143" s="39"/>
      <c r="B143" s="408" t="s">
        <v>127</v>
      </c>
      <c r="C143" s="400"/>
      <c r="D143" s="400"/>
      <c r="E143" s="400"/>
      <c r="F143" s="400"/>
      <c r="G143" s="401"/>
      <c r="H143" s="225">
        <f>H17+H20+H26+H33+H42+H60+H66+H77+H81+H89+H105+H121+H129+H135+H138+H141</f>
        <v>284720.42999999993</v>
      </c>
      <c r="I143" s="225">
        <f>I17+I20+I26+I33+I42+I60+I66+I77+I81+I89+I105+I121+I129+I135+I138+I141</f>
        <v>0</v>
      </c>
      <c r="J143" s="225">
        <f>J17+J20+J26+J33+J42+J60+J66+J77+J81+J89+J105+J121+J129+J135+J138+J141</f>
        <v>6257.5699999999988</v>
      </c>
      <c r="K143" s="225">
        <f>K17+K20+K26+K33+K42+K60+K66+K77+K81+K89+K105+K121+K129+K135+K138+K141</f>
        <v>6257.5699999999988</v>
      </c>
      <c r="L143" s="225">
        <f>L17+L20+L26+L33+L42+L60+L66+L77+L81+L89+L105+L121+L129+L135+L138+L141</f>
        <v>278462.85999999987</v>
      </c>
      <c r="M143" s="225"/>
      <c r="N143" s="55"/>
    </row>
    <row r="144" spans="1:14" s="80" customFormat="1" ht="30" customHeight="1" x14ac:dyDescent="0.2">
      <c r="B144" s="226"/>
      <c r="C144" s="4"/>
      <c r="D144" s="227"/>
      <c r="E144" s="228"/>
      <c r="F144" s="229"/>
      <c r="G144" s="229"/>
      <c r="H144" s="84"/>
      <c r="I144" s="84"/>
      <c r="J144" s="84"/>
      <c r="K144" s="84"/>
      <c r="L144" s="84"/>
      <c r="M144" s="122"/>
      <c r="N144" s="55"/>
    </row>
    <row r="145" spans="2:14" ht="30" customHeight="1" x14ac:dyDescent="0.2">
      <c r="B145" s="226"/>
      <c r="D145" s="227"/>
      <c r="E145" s="228"/>
      <c r="F145" s="229"/>
      <c r="G145" s="229"/>
      <c r="H145" s="84"/>
      <c r="I145" s="84"/>
      <c r="J145" s="84"/>
      <c r="K145" s="84"/>
      <c r="L145" s="84"/>
      <c r="M145" s="122"/>
      <c r="N145" s="47"/>
    </row>
    <row r="146" spans="2:14" ht="31.5" customHeight="1" x14ac:dyDescent="0.2">
      <c r="B146" s="226"/>
      <c r="D146" s="227"/>
      <c r="E146" s="228"/>
      <c r="F146" s="229"/>
      <c r="G146" s="229"/>
      <c r="H146" s="84"/>
      <c r="I146" s="84"/>
      <c r="J146" s="84"/>
      <c r="K146" s="84"/>
      <c r="L146" s="84"/>
      <c r="M146" s="122"/>
      <c r="N146" s="47"/>
    </row>
    <row r="147" spans="2:14" ht="31.5" customHeight="1" x14ac:dyDescent="0.2">
      <c r="B147" s="226"/>
      <c r="D147" s="227"/>
      <c r="E147" s="228"/>
      <c r="F147" s="229"/>
      <c r="G147" s="229"/>
      <c r="H147" s="84"/>
      <c r="I147" s="84"/>
      <c r="J147" s="84"/>
      <c r="K147" s="84"/>
      <c r="L147" s="84"/>
      <c r="M147" s="122"/>
      <c r="N147" s="48"/>
    </row>
    <row r="148" spans="2:14" ht="21.75" customHeight="1" x14ac:dyDescent="0.2">
      <c r="B148" s="230"/>
      <c r="C148" s="60"/>
      <c r="M148" s="123"/>
      <c r="N148" s="47"/>
    </row>
    <row r="149" spans="2:14" ht="21.75" customHeight="1" x14ac:dyDescent="0.2">
      <c r="B149" s="231" t="s">
        <v>433</v>
      </c>
      <c r="C149" s="232"/>
      <c r="D149" s="407" t="s">
        <v>455</v>
      </c>
      <c r="E149" s="407"/>
      <c r="J149" s="232" t="s">
        <v>280</v>
      </c>
      <c r="K149" s="232"/>
      <c r="M149" s="123"/>
      <c r="N149" s="47"/>
    </row>
    <row r="150" spans="2:14" ht="21.75" customHeight="1" x14ac:dyDescent="0.2">
      <c r="B150" s="233"/>
      <c r="C150" s="117"/>
      <c r="D150" s="407" t="s">
        <v>279</v>
      </c>
      <c r="E150" s="407"/>
      <c r="J150" s="407" t="s">
        <v>279</v>
      </c>
      <c r="K150" s="407"/>
      <c r="L150" s="407"/>
      <c r="M150" s="123"/>
      <c r="N150" s="47"/>
    </row>
    <row r="151" spans="2:14" ht="21.75" customHeight="1" thickBot="1" x14ac:dyDescent="0.25">
      <c r="B151" s="234"/>
      <c r="C151" s="235"/>
      <c r="D151" s="236"/>
      <c r="E151" s="237"/>
      <c r="F151" s="124"/>
      <c r="G151" s="124"/>
      <c r="H151" s="124"/>
      <c r="I151" s="124"/>
      <c r="J151" s="124"/>
      <c r="K151" s="124"/>
      <c r="L151" s="124"/>
      <c r="M151" s="238"/>
      <c r="N151" s="47"/>
    </row>
    <row r="152" spans="2:14" ht="21.75" customHeight="1" x14ac:dyDescent="0.2">
      <c r="B152" s="85"/>
      <c r="C152" s="85"/>
      <c r="N152" s="31"/>
    </row>
    <row r="153" spans="2:14" ht="18" customHeight="1" x14ac:dyDescent="0.2">
      <c r="B153" s="117"/>
      <c r="C153" s="117"/>
    </row>
    <row r="154" spans="2:14" x14ac:dyDescent="0.2">
      <c r="B154" s="117"/>
      <c r="C154" s="117"/>
      <c r="J154" s="25" t="s">
        <v>90</v>
      </c>
      <c r="K154" s="144">
        <f>L8+L9+L11+L12+L13+L14+L15+L23+L28+L29+L30+L31+L36+L37+L39+L40+L41+L44+L45+L46+L47+L48+L49+L50+L51+L52+L53+L54+L55+L56+L57+L58+L59+L62+L63+L64+L65+L68+L69+L70+L73+L74+L75+L76+L80+L83+L84+L85+L86+L87+L88+L91+L92+L93+L94+L95+L96+L97+L98+L99+L100+L101+L102+L103+L104+L107+L108+L109+L110+L111+L112+L113+L114+L115+L116+L117+L118+L119+L120+L123+L124+L125+L126+L127+L128+L131+L132+L133+L134+L140</f>
        <v>229260.70000000016</v>
      </c>
    </row>
    <row r="155" spans="2:14" x14ac:dyDescent="0.2">
      <c r="B155" s="117"/>
      <c r="C155" s="117"/>
      <c r="J155" s="25" t="s">
        <v>91</v>
      </c>
      <c r="K155" s="144">
        <f>L10+L16+L19+L22+L24+L25+L32+L35+L38+L71+L72+L79+L137</f>
        <v>49202.159999999996</v>
      </c>
    </row>
    <row r="156" spans="2:14" x14ac:dyDescent="0.2">
      <c r="B156" s="117"/>
      <c r="C156" s="117"/>
      <c r="K156" s="144">
        <f>SUM(K154:K155)</f>
        <v>278462.86000000016</v>
      </c>
    </row>
    <row r="157" spans="2:14" x14ac:dyDescent="0.2">
      <c r="B157" s="117"/>
      <c r="C157" s="117"/>
    </row>
    <row r="158" spans="2:14" x14ac:dyDescent="0.2">
      <c r="B158" s="117"/>
      <c r="C158" s="117"/>
      <c r="J158" s="25" t="s">
        <v>288</v>
      </c>
      <c r="K158" s="145">
        <f>K156-L143</f>
        <v>0</v>
      </c>
    </row>
    <row r="159" spans="2:14" x14ac:dyDescent="0.2">
      <c r="B159" s="117"/>
      <c r="C159" s="117"/>
    </row>
  </sheetData>
  <mergeCells count="39">
    <mergeCell ref="D149:E149"/>
    <mergeCell ref="B90:M90"/>
    <mergeCell ref="B139:M139"/>
    <mergeCell ref="B136:M136"/>
    <mergeCell ref="F138:G138"/>
    <mergeCell ref="B106:M106"/>
    <mergeCell ref="F105:G105"/>
    <mergeCell ref="F121:G121"/>
    <mergeCell ref="F129:G129"/>
    <mergeCell ref="F135:G135"/>
    <mergeCell ref="B122:M122"/>
    <mergeCell ref="B130:M130"/>
    <mergeCell ref="D150:E150"/>
    <mergeCell ref="J150:L150"/>
    <mergeCell ref="F20:G20"/>
    <mergeCell ref="B143:G143"/>
    <mergeCell ref="B61:M61"/>
    <mergeCell ref="F60:G60"/>
    <mergeCell ref="F26:G26"/>
    <mergeCell ref="F33:G33"/>
    <mergeCell ref="F141:G141"/>
    <mergeCell ref="F66:G66"/>
    <mergeCell ref="F77:G77"/>
    <mergeCell ref="F81:G81"/>
    <mergeCell ref="B27:M27"/>
    <mergeCell ref="F42:G42"/>
    <mergeCell ref="B34:M34"/>
    <mergeCell ref="B78:M78"/>
    <mergeCell ref="F89:G89"/>
    <mergeCell ref="B67:M67"/>
    <mergeCell ref="E2:J2"/>
    <mergeCell ref="E5:J5"/>
    <mergeCell ref="K5:M5"/>
    <mergeCell ref="D6:I6"/>
    <mergeCell ref="F17:G17"/>
    <mergeCell ref="B18:M18"/>
    <mergeCell ref="B21:M21"/>
    <mergeCell ref="B82:M82"/>
    <mergeCell ref="B43:M43"/>
  </mergeCells>
  <pageMargins left="0.7" right="0.7" top="0.75" bottom="0.75" header="0.3" footer="0.3"/>
  <pageSetup scale="61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N43"/>
  <sheetViews>
    <sheetView showGridLines="0" topLeftCell="E1" zoomScale="70" zoomScaleNormal="70" workbookViewId="0">
      <selection activeCell="F1" sqref="F1:F1048576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70" customWidth="1"/>
    <col min="5" max="5" width="37.42578125" style="5" customWidth="1"/>
    <col min="6" max="6" width="10.28515625" style="5" customWidth="1"/>
    <col min="7" max="7" width="10" style="5" customWidth="1"/>
    <col min="8" max="8" width="24.42578125" style="5" customWidth="1"/>
    <col min="9" max="9" width="11.85546875" style="5" hidden="1" customWidth="1"/>
    <col min="10" max="10" width="12.140625" style="5" hidden="1" customWidth="1"/>
    <col min="11" max="11" width="11.5703125" style="5" hidden="1" customWidth="1"/>
    <col min="12" max="12" width="12" style="5" hidden="1" customWidth="1"/>
    <col min="13" max="13" width="12.7109375" style="5" hidden="1" customWidth="1"/>
    <col min="14" max="14" width="14.42578125" style="5" hidden="1" customWidth="1"/>
    <col min="15" max="15" width="14.28515625" style="5" hidden="1" customWidth="1"/>
    <col min="16" max="16" width="8.7109375" style="5" hidden="1" customWidth="1"/>
    <col min="17" max="17" width="13.140625" style="5" hidden="1" customWidth="1"/>
    <col min="18" max="18" width="13.5703125" style="5" hidden="1" customWidth="1"/>
    <col min="19" max="19" width="12.7109375" style="5" hidden="1" customWidth="1"/>
    <col min="20" max="20" width="13.42578125" style="5" hidden="1" customWidth="1"/>
    <col min="21" max="22" width="13.140625" style="5" hidden="1" customWidth="1"/>
    <col min="23" max="23" width="10.5703125" style="5" hidden="1" customWidth="1"/>
    <col min="24" max="24" width="12.85546875" style="5" hidden="1" customWidth="1"/>
    <col min="25" max="25" width="13.140625" style="5" hidden="1" customWidth="1"/>
    <col min="26" max="26" width="11.5703125" style="5" hidden="1" customWidth="1"/>
    <col min="27" max="27" width="7.7109375" style="5" hidden="1" customWidth="1"/>
    <col min="28" max="29" width="11.85546875" style="5" hidden="1" customWidth="1"/>
    <col min="30" max="30" width="11.28515625" style="5" hidden="1" customWidth="1"/>
    <col min="31" max="31" width="10.42578125" style="5" hidden="1" customWidth="1"/>
    <col min="32" max="32" width="12.28515625" style="5" hidden="1" customWidth="1"/>
    <col min="33" max="33" width="13.140625" style="5" hidden="1" customWidth="1"/>
    <col min="34" max="34" width="19.85546875" style="5" hidden="1" customWidth="1"/>
    <col min="35" max="35" width="17.5703125" style="182" customWidth="1"/>
    <col min="36" max="36" width="56.42578125" style="5" customWidth="1"/>
    <col min="37" max="37" width="12.28515625" style="171" bestFit="1" customWidth="1"/>
    <col min="38" max="38" width="15.140625" style="169" customWidth="1"/>
    <col min="39" max="16384" width="11.42578125" style="5"/>
  </cols>
  <sheetData>
    <row r="3" spans="1:40" x14ac:dyDescent="0.2">
      <c r="B3" s="38"/>
      <c r="C3" s="38"/>
      <c r="D3" s="6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167"/>
      <c r="AJ3" s="38"/>
      <c r="AK3" s="168"/>
    </row>
    <row r="4" spans="1:40" x14ac:dyDescent="0.2">
      <c r="B4" s="38"/>
      <c r="C4" s="38"/>
      <c r="D4" s="67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167"/>
      <c r="AJ4" s="38"/>
      <c r="AK4" s="168"/>
    </row>
    <row r="5" spans="1:40" x14ac:dyDescent="0.2">
      <c r="B5" s="38"/>
      <c r="C5" s="38"/>
      <c r="D5" s="67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167"/>
      <c r="AJ5" s="38"/>
      <c r="AK5" s="168"/>
    </row>
    <row r="6" spans="1:40" x14ac:dyDescent="0.2">
      <c r="B6" s="38"/>
      <c r="C6" s="38"/>
      <c r="D6" s="6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167"/>
      <c r="AJ6" s="38"/>
      <c r="AK6" s="168"/>
    </row>
    <row r="7" spans="1:40" x14ac:dyDescent="0.2">
      <c r="B7" s="38"/>
      <c r="C7" s="38"/>
      <c r="D7" s="67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167"/>
      <c r="AJ7" s="38"/>
      <c r="AK7" s="168"/>
    </row>
    <row r="8" spans="1:40" x14ac:dyDescent="0.2">
      <c r="B8" s="38"/>
      <c r="C8" s="38"/>
      <c r="D8" s="6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167"/>
      <c r="AJ8" s="38"/>
      <c r="AK8" s="168"/>
    </row>
    <row r="9" spans="1:40" ht="30" customHeight="1" x14ac:dyDescent="0.2">
      <c r="B9" s="38"/>
      <c r="C9" s="38"/>
      <c r="D9" s="67"/>
      <c r="E9" s="38"/>
      <c r="F9" s="60" t="s">
        <v>29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167"/>
      <c r="AJ9" s="38"/>
      <c r="AK9" s="168"/>
      <c r="AM9" s="76"/>
      <c r="AN9" s="5" t="s">
        <v>303</v>
      </c>
    </row>
    <row r="10" spans="1:40" x14ac:dyDescent="0.2">
      <c r="B10" s="38"/>
      <c r="C10" s="38"/>
      <c r="D10" s="67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167"/>
      <c r="AJ10" s="38"/>
      <c r="AK10" s="168"/>
      <c r="AM10" s="170"/>
      <c r="AN10" s="5" t="s">
        <v>304</v>
      </c>
    </row>
    <row r="11" spans="1:40" s="29" customFormat="1" ht="15" x14ac:dyDescent="0.2">
      <c r="A11" s="5"/>
      <c r="B11" s="419"/>
      <c r="C11" s="419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19"/>
      <c r="AC11" s="419"/>
      <c r="AD11" s="419"/>
      <c r="AE11" s="419"/>
      <c r="AF11" s="419"/>
      <c r="AG11" s="419"/>
      <c r="AH11" s="419"/>
      <c r="AI11" s="419"/>
      <c r="AJ11" s="38"/>
      <c r="AK11" s="168"/>
      <c r="AL11" s="171"/>
    </row>
    <row r="12" spans="1:40" s="29" customFormat="1" ht="15" x14ac:dyDescent="0.2">
      <c r="A12" s="5"/>
      <c r="B12" s="420" t="s">
        <v>479</v>
      </c>
      <c r="C12" s="420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  <c r="AC12" s="420"/>
      <c r="AD12" s="420"/>
      <c r="AE12" s="420"/>
      <c r="AF12" s="420"/>
      <c r="AG12" s="420"/>
      <c r="AH12" s="420"/>
      <c r="AI12" s="420"/>
      <c r="AJ12" s="38"/>
      <c r="AK12" s="168"/>
      <c r="AL12" s="171"/>
    </row>
    <row r="13" spans="1:40" s="29" customFormat="1" ht="28.5" customHeight="1" x14ac:dyDescent="0.2">
      <c r="A13" s="5"/>
      <c r="B13" s="37"/>
      <c r="C13" s="37"/>
      <c r="D13" s="68"/>
      <c r="E13" s="37"/>
      <c r="F13" s="36" t="s">
        <v>130</v>
      </c>
      <c r="G13" s="36" t="s">
        <v>1</v>
      </c>
      <c r="H13" s="421" t="s">
        <v>0</v>
      </c>
      <c r="I13" s="421"/>
      <c r="J13" s="421"/>
      <c r="K13" s="421"/>
      <c r="L13" s="421"/>
      <c r="M13" s="421"/>
      <c r="N13" s="421"/>
      <c r="O13" s="421"/>
      <c r="P13" s="36"/>
      <c r="Q13" s="36" t="s">
        <v>305</v>
      </c>
      <c r="R13" s="36"/>
      <c r="S13" s="422" t="s">
        <v>306</v>
      </c>
      <c r="T13" s="422"/>
      <c r="U13" s="422"/>
      <c r="V13" s="422"/>
      <c r="W13" s="422"/>
      <c r="X13" s="422"/>
      <c r="Y13" s="36" t="s">
        <v>307</v>
      </c>
      <c r="Z13" s="36" t="s">
        <v>3</v>
      </c>
      <c r="AA13" s="36"/>
      <c r="AB13" s="423" t="s">
        <v>308</v>
      </c>
      <c r="AC13" s="422" t="s">
        <v>309</v>
      </c>
      <c r="AD13" s="422"/>
      <c r="AE13" s="422"/>
      <c r="AF13" s="422"/>
      <c r="AG13" s="422"/>
      <c r="AH13" s="422"/>
      <c r="AI13" s="424" t="s">
        <v>302</v>
      </c>
      <c r="AJ13" s="37"/>
      <c r="AK13" s="168"/>
      <c r="AL13" s="171"/>
    </row>
    <row r="14" spans="1:40" s="29" customFormat="1" x14ac:dyDescent="0.2">
      <c r="A14" s="5"/>
      <c r="B14" s="36" t="s">
        <v>131</v>
      </c>
      <c r="C14" s="36" t="s">
        <v>340</v>
      </c>
      <c r="D14" s="73" t="s">
        <v>14</v>
      </c>
      <c r="E14" s="36" t="s">
        <v>27</v>
      </c>
      <c r="F14" s="42" t="s">
        <v>15</v>
      </c>
      <c r="G14" s="36" t="s">
        <v>16</v>
      </c>
      <c r="H14" s="423" t="s">
        <v>92</v>
      </c>
      <c r="I14" s="36" t="s">
        <v>310</v>
      </c>
      <c r="J14" s="36" t="s">
        <v>310</v>
      </c>
      <c r="K14" s="36" t="s">
        <v>311</v>
      </c>
      <c r="L14" s="36" t="s">
        <v>305</v>
      </c>
      <c r="M14" s="36" t="s">
        <v>312</v>
      </c>
      <c r="N14" s="423" t="s">
        <v>313</v>
      </c>
      <c r="O14" s="423" t="s">
        <v>133</v>
      </c>
      <c r="P14" s="36"/>
      <c r="Q14" s="36" t="s">
        <v>314</v>
      </c>
      <c r="R14" s="36" t="s">
        <v>315</v>
      </c>
      <c r="S14" s="36" t="s">
        <v>5</v>
      </c>
      <c r="T14" s="36" t="s">
        <v>316</v>
      </c>
      <c r="U14" s="36" t="s">
        <v>317</v>
      </c>
      <c r="V14" s="36" t="s">
        <v>318</v>
      </c>
      <c r="W14" s="36" t="s">
        <v>7</v>
      </c>
      <c r="X14" s="36" t="s">
        <v>3</v>
      </c>
      <c r="Y14" s="36" t="s">
        <v>319</v>
      </c>
      <c r="Z14" s="36" t="s">
        <v>320</v>
      </c>
      <c r="AA14" s="36"/>
      <c r="AB14" s="423"/>
      <c r="AC14" s="36" t="s">
        <v>321</v>
      </c>
      <c r="AD14" s="36" t="s">
        <v>322</v>
      </c>
      <c r="AE14" s="36" t="s">
        <v>307</v>
      </c>
      <c r="AF14" s="36" t="s">
        <v>323</v>
      </c>
      <c r="AG14" s="148" t="s">
        <v>324</v>
      </c>
      <c r="AH14" s="423" t="s">
        <v>325</v>
      </c>
      <c r="AI14" s="424"/>
      <c r="AJ14" s="37"/>
      <c r="AK14" s="168"/>
      <c r="AL14" s="171"/>
    </row>
    <row r="15" spans="1:40" s="29" customFormat="1" ht="16.5" customHeight="1" x14ac:dyDescent="0.2">
      <c r="A15" s="5"/>
      <c r="B15" s="36"/>
      <c r="C15" s="36"/>
      <c r="D15" s="73"/>
      <c r="E15" s="36"/>
      <c r="F15" s="36"/>
      <c r="G15" s="36"/>
      <c r="H15" s="423"/>
      <c r="I15" s="36" t="s">
        <v>326</v>
      </c>
      <c r="J15" s="36" t="s">
        <v>327</v>
      </c>
      <c r="K15" s="36"/>
      <c r="L15" s="36" t="s">
        <v>314</v>
      </c>
      <c r="M15" s="36" t="s">
        <v>328</v>
      </c>
      <c r="N15" s="423"/>
      <c r="O15" s="423"/>
      <c r="P15" s="36"/>
      <c r="Q15" s="36" t="s">
        <v>329</v>
      </c>
      <c r="R15" s="36" t="s">
        <v>330</v>
      </c>
      <c r="S15" s="36" t="s">
        <v>6</v>
      </c>
      <c r="T15" s="36" t="s">
        <v>331</v>
      </c>
      <c r="U15" s="36" t="s">
        <v>331</v>
      </c>
      <c r="V15" s="36" t="s">
        <v>332</v>
      </c>
      <c r="W15" s="36" t="s">
        <v>8</v>
      </c>
      <c r="X15" s="36" t="s">
        <v>333</v>
      </c>
      <c r="Y15" s="36" t="s">
        <v>12</v>
      </c>
      <c r="Z15" s="36" t="s">
        <v>334</v>
      </c>
      <c r="AA15" s="36"/>
      <c r="AB15" s="423"/>
      <c r="AC15" s="36"/>
      <c r="AD15" s="36"/>
      <c r="AE15" s="36" t="s">
        <v>335</v>
      </c>
      <c r="AF15" s="36" t="s">
        <v>336</v>
      </c>
      <c r="AG15" s="36"/>
      <c r="AH15" s="423"/>
      <c r="AI15" s="424"/>
      <c r="AJ15" s="36" t="s">
        <v>300</v>
      </c>
      <c r="AK15" s="168"/>
      <c r="AL15" s="171"/>
    </row>
    <row r="16" spans="1:40" s="29" customFormat="1" ht="43.5" customHeight="1" x14ac:dyDescent="0.2">
      <c r="A16" s="5"/>
      <c r="B16" s="37">
        <v>1</v>
      </c>
      <c r="C16" s="37" t="s">
        <v>340</v>
      </c>
      <c r="D16" s="239" t="s">
        <v>31</v>
      </c>
      <c r="E16" s="240" t="s">
        <v>30</v>
      </c>
      <c r="F16" s="240">
        <v>15</v>
      </c>
      <c r="G16" s="241">
        <v>106.133</v>
      </c>
      <c r="H16" s="115">
        <f t="shared" ref="H16:H22" si="0">ROUND(F16*G16,2)</f>
        <v>1592</v>
      </c>
      <c r="I16" s="242">
        <v>0</v>
      </c>
      <c r="J16" s="242">
        <f t="shared" ref="J16:J22" si="1">I16</f>
        <v>0</v>
      </c>
      <c r="K16" s="242">
        <v>0</v>
      </c>
      <c r="L16" s="242">
        <v>0</v>
      </c>
      <c r="M16" s="242">
        <v>0</v>
      </c>
      <c r="N16" s="242">
        <v>0</v>
      </c>
      <c r="O16" s="165">
        <f t="shared" ref="O16:O22" si="2">SUM(H16:N16)</f>
        <v>1592</v>
      </c>
      <c r="P16" s="243"/>
      <c r="Q16" s="165">
        <f t="shared" ref="Q16:Q22" si="3">IF(G16=47.16,0,IF(G16&gt;47.16,L16*0.5,0))</f>
        <v>0</v>
      </c>
      <c r="R16" s="165">
        <f t="shared" ref="R16:R22" si="4">H16+I16+J16+M16+Q16+K16</f>
        <v>1592</v>
      </c>
      <c r="S16" s="165">
        <v>318.01</v>
      </c>
      <c r="T16" s="165">
        <f t="shared" ref="T16:T22" si="5">R16-S16</f>
        <v>1273.99</v>
      </c>
      <c r="U16" s="244">
        <v>6.4000000000000001E-2</v>
      </c>
      <c r="V16" s="165">
        <f t="shared" ref="V16:V22" si="6">T16*U16</f>
        <v>81.535359999999997</v>
      </c>
      <c r="W16" s="165">
        <v>6.15</v>
      </c>
      <c r="X16" s="165">
        <f t="shared" ref="X16:X22" si="7">V16+W16</f>
        <v>87.685360000000003</v>
      </c>
      <c r="Y16" s="165">
        <v>200.7</v>
      </c>
      <c r="Z16" s="165">
        <f t="shared" ref="Z16:Z22" si="8">X16-Y16</f>
        <v>-113.01463999999999</v>
      </c>
      <c r="AA16" s="245"/>
      <c r="AB16" s="165">
        <v>0</v>
      </c>
      <c r="AC16" s="165">
        <f t="shared" ref="AC16:AC22" si="9">IF(Z16&lt;0,0,Z16)</f>
        <v>0</v>
      </c>
      <c r="AD16" s="165">
        <v>0</v>
      </c>
      <c r="AE16" s="242">
        <v>0</v>
      </c>
      <c r="AF16" s="242">
        <v>0</v>
      </c>
      <c r="AG16" s="246">
        <v>0</v>
      </c>
      <c r="AH16" s="165">
        <f t="shared" ref="AH16:AH22" si="10">SUM(AC16:AG16)</f>
        <v>0</v>
      </c>
      <c r="AI16" s="247">
        <f t="shared" ref="AI16:AI22" si="11">O16+AB16-AH16</f>
        <v>1592</v>
      </c>
      <c r="AJ16" s="165"/>
      <c r="AK16" s="49"/>
      <c r="AL16" s="172"/>
      <c r="AM16" s="173"/>
    </row>
    <row r="17" spans="1:39" s="29" customFormat="1" ht="43.5" customHeight="1" x14ac:dyDescent="0.2">
      <c r="A17" s="5"/>
      <c r="B17" s="37">
        <v>2</v>
      </c>
      <c r="C17" s="37" t="s">
        <v>340</v>
      </c>
      <c r="D17" s="239" t="s">
        <v>255</v>
      </c>
      <c r="E17" s="240" t="s">
        <v>30</v>
      </c>
      <c r="F17" s="240">
        <v>15</v>
      </c>
      <c r="G17" s="241">
        <v>106.133</v>
      </c>
      <c r="H17" s="115">
        <f t="shared" si="0"/>
        <v>1592</v>
      </c>
      <c r="I17" s="242">
        <v>0</v>
      </c>
      <c r="J17" s="242">
        <f t="shared" si="1"/>
        <v>0</v>
      </c>
      <c r="K17" s="242">
        <v>0</v>
      </c>
      <c r="L17" s="242">
        <v>0</v>
      </c>
      <c r="M17" s="242">
        <v>0</v>
      </c>
      <c r="N17" s="242">
        <v>0</v>
      </c>
      <c r="O17" s="165">
        <f t="shared" si="2"/>
        <v>1592</v>
      </c>
      <c r="P17" s="243"/>
      <c r="Q17" s="165">
        <f t="shared" si="3"/>
        <v>0</v>
      </c>
      <c r="R17" s="165">
        <f t="shared" si="4"/>
        <v>1592</v>
      </c>
      <c r="S17" s="165">
        <v>318.01</v>
      </c>
      <c r="T17" s="165">
        <f t="shared" si="5"/>
        <v>1273.99</v>
      </c>
      <c r="U17" s="244">
        <v>6.4000000000000001E-2</v>
      </c>
      <c r="V17" s="165">
        <f t="shared" si="6"/>
        <v>81.535359999999997</v>
      </c>
      <c r="W17" s="165">
        <v>6.15</v>
      </c>
      <c r="X17" s="165">
        <f t="shared" si="7"/>
        <v>87.685360000000003</v>
      </c>
      <c r="Y17" s="165">
        <v>200.7</v>
      </c>
      <c r="Z17" s="165">
        <f t="shared" si="8"/>
        <v>-113.01463999999999</v>
      </c>
      <c r="AA17" s="245"/>
      <c r="AB17" s="165">
        <v>0</v>
      </c>
      <c r="AC17" s="165">
        <f t="shared" si="9"/>
        <v>0</v>
      </c>
      <c r="AD17" s="165">
        <v>0</v>
      </c>
      <c r="AE17" s="242">
        <v>0</v>
      </c>
      <c r="AF17" s="242">
        <v>0</v>
      </c>
      <c r="AG17" s="246">
        <v>0</v>
      </c>
      <c r="AH17" s="165">
        <f t="shared" si="10"/>
        <v>0</v>
      </c>
      <c r="AI17" s="247">
        <f t="shared" si="11"/>
        <v>1592</v>
      </c>
      <c r="AJ17" s="165"/>
      <c r="AK17" s="49"/>
      <c r="AL17" s="172"/>
      <c r="AM17" s="173"/>
    </row>
    <row r="18" spans="1:39" s="29" customFormat="1" ht="43.5" customHeight="1" x14ac:dyDescent="0.2">
      <c r="A18" s="5"/>
      <c r="B18" s="37">
        <v>3</v>
      </c>
      <c r="C18" s="37" t="s">
        <v>340</v>
      </c>
      <c r="D18" s="239" t="s">
        <v>74</v>
      </c>
      <c r="E18" s="240" t="s">
        <v>30</v>
      </c>
      <c r="F18" s="240">
        <v>15</v>
      </c>
      <c r="G18" s="241">
        <v>106.133</v>
      </c>
      <c r="H18" s="115">
        <f t="shared" si="0"/>
        <v>1592</v>
      </c>
      <c r="I18" s="242">
        <v>0</v>
      </c>
      <c r="J18" s="242">
        <f t="shared" si="1"/>
        <v>0</v>
      </c>
      <c r="K18" s="242">
        <v>0</v>
      </c>
      <c r="L18" s="242">
        <v>0</v>
      </c>
      <c r="M18" s="242">
        <v>0</v>
      </c>
      <c r="N18" s="242">
        <v>0</v>
      </c>
      <c r="O18" s="165">
        <f t="shared" si="2"/>
        <v>1592</v>
      </c>
      <c r="P18" s="243"/>
      <c r="Q18" s="165">
        <f t="shared" si="3"/>
        <v>0</v>
      </c>
      <c r="R18" s="165">
        <f t="shared" si="4"/>
        <v>1592</v>
      </c>
      <c r="S18" s="165">
        <v>318.01</v>
      </c>
      <c r="T18" s="165">
        <f t="shared" si="5"/>
        <v>1273.99</v>
      </c>
      <c r="U18" s="244">
        <v>6.4000000000000001E-2</v>
      </c>
      <c r="V18" s="165">
        <f t="shared" si="6"/>
        <v>81.535359999999997</v>
      </c>
      <c r="W18" s="165">
        <v>6.15</v>
      </c>
      <c r="X18" s="165">
        <f t="shared" si="7"/>
        <v>87.685360000000003</v>
      </c>
      <c r="Y18" s="165">
        <v>200.7</v>
      </c>
      <c r="Z18" s="165">
        <f t="shared" si="8"/>
        <v>-113.01463999999999</v>
      </c>
      <c r="AA18" s="245"/>
      <c r="AB18" s="165">
        <v>0</v>
      </c>
      <c r="AC18" s="165">
        <f t="shared" si="9"/>
        <v>0</v>
      </c>
      <c r="AD18" s="165">
        <v>0</v>
      </c>
      <c r="AE18" s="242">
        <v>0</v>
      </c>
      <c r="AF18" s="242">
        <v>0</v>
      </c>
      <c r="AG18" s="246">
        <v>0</v>
      </c>
      <c r="AH18" s="165">
        <f t="shared" si="10"/>
        <v>0</v>
      </c>
      <c r="AI18" s="247">
        <f t="shared" si="11"/>
        <v>1592</v>
      </c>
      <c r="AJ18" s="165"/>
      <c r="AK18" s="168"/>
      <c r="AL18" s="171"/>
    </row>
    <row r="19" spans="1:39" s="29" customFormat="1" ht="43.5" customHeight="1" x14ac:dyDescent="0.2">
      <c r="A19" s="5"/>
      <c r="B19" s="37">
        <v>4</v>
      </c>
      <c r="C19" s="37" t="s">
        <v>340</v>
      </c>
      <c r="D19" s="239" t="s">
        <v>32</v>
      </c>
      <c r="E19" s="240" t="s">
        <v>30</v>
      </c>
      <c r="F19" s="240">
        <v>15</v>
      </c>
      <c r="G19" s="241">
        <v>106.133</v>
      </c>
      <c r="H19" s="115">
        <f t="shared" si="0"/>
        <v>1592</v>
      </c>
      <c r="I19" s="242">
        <v>0</v>
      </c>
      <c r="J19" s="242">
        <f t="shared" si="1"/>
        <v>0</v>
      </c>
      <c r="K19" s="242">
        <v>0</v>
      </c>
      <c r="L19" s="242">
        <v>0</v>
      </c>
      <c r="M19" s="242">
        <v>0</v>
      </c>
      <c r="N19" s="242">
        <v>0</v>
      </c>
      <c r="O19" s="165">
        <f t="shared" si="2"/>
        <v>1592</v>
      </c>
      <c r="P19" s="243"/>
      <c r="Q19" s="165">
        <f t="shared" si="3"/>
        <v>0</v>
      </c>
      <c r="R19" s="165">
        <f t="shared" si="4"/>
        <v>1592</v>
      </c>
      <c r="S19" s="165">
        <v>318.01</v>
      </c>
      <c r="T19" s="165">
        <f t="shared" si="5"/>
        <v>1273.99</v>
      </c>
      <c r="U19" s="244">
        <v>6.4000000000000001E-2</v>
      </c>
      <c r="V19" s="165">
        <f t="shared" si="6"/>
        <v>81.535359999999997</v>
      </c>
      <c r="W19" s="165">
        <v>6.15</v>
      </c>
      <c r="X19" s="165">
        <f t="shared" si="7"/>
        <v>87.685360000000003</v>
      </c>
      <c r="Y19" s="165">
        <v>200.7</v>
      </c>
      <c r="Z19" s="165">
        <f t="shared" si="8"/>
        <v>-113.01463999999999</v>
      </c>
      <c r="AA19" s="245"/>
      <c r="AB19" s="165">
        <v>0</v>
      </c>
      <c r="AC19" s="165">
        <f t="shared" si="9"/>
        <v>0</v>
      </c>
      <c r="AD19" s="165">
        <v>0</v>
      </c>
      <c r="AE19" s="242">
        <v>0</v>
      </c>
      <c r="AF19" s="242">
        <v>0</v>
      </c>
      <c r="AG19" s="246">
        <v>0</v>
      </c>
      <c r="AH19" s="165">
        <f t="shared" si="10"/>
        <v>0</v>
      </c>
      <c r="AI19" s="247">
        <f t="shared" si="11"/>
        <v>1592</v>
      </c>
      <c r="AJ19" s="165"/>
      <c r="AK19" s="168"/>
      <c r="AL19" s="171"/>
    </row>
    <row r="20" spans="1:39" s="29" customFormat="1" ht="43.5" customHeight="1" x14ac:dyDescent="0.2">
      <c r="A20" s="5"/>
      <c r="B20" s="37">
        <v>5</v>
      </c>
      <c r="C20" s="37" t="s">
        <v>340</v>
      </c>
      <c r="D20" s="239" t="s">
        <v>83</v>
      </c>
      <c r="E20" s="240" t="s">
        <v>30</v>
      </c>
      <c r="F20" s="240">
        <v>15</v>
      </c>
      <c r="G20" s="241">
        <v>106.133</v>
      </c>
      <c r="H20" s="115">
        <f t="shared" si="0"/>
        <v>1592</v>
      </c>
      <c r="I20" s="242">
        <v>0</v>
      </c>
      <c r="J20" s="242">
        <f t="shared" si="1"/>
        <v>0</v>
      </c>
      <c r="K20" s="242">
        <v>0</v>
      </c>
      <c r="L20" s="242">
        <v>0</v>
      </c>
      <c r="M20" s="242">
        <v>0</v>
      </c>
      <c r="N20" s="242">
        <v>0</v>
      </c>
      <c r="O20" s="165">
        <f t="shared" si="2"/>
        <v>1592</v>
      </c>
      <c r="P20" s="243"/>
      <c r="Q20" s="165">
        <f t="shared" si="3"/>
        <v>0</v>
      </c>
      <c r="R20" s="165">
        <f t="shared" si="4"/>
        <v>1592</v>
      </c>
      <c r="S20" s="165">
        <v>318.01</v>
      </c>
      <c r="T20" s="165">
        <f t="shared" si="5"/>
        <v>1273.99</v>
      </c>
      <c r="U20" s="244">
        <v>6.4000000000000001E-2</v>
      </c>
      <c r="V20" s="165">
        <f t="shared" si="6"/>
        <v>81.535359999999997</v>
      </c>
      <c r="W20" s="165">
        <v>6.15</v>
      </c>
      <c r="X20" s="165">
        <f t="shared" si="7"/>
        <v>87.685360000000003</v>
      </c>
      <c r="Y20" s="165">
        <v>200.7</v>
      </c>
      <c r="Z20" s="165">
        <f t="shared" si="8"/>
        <v>-113.01463999999999</v>
      </c>
      <c r="AA20" s="245"/>
      <c r="AB20" s="165">
        <v>0</v>
      </c>
      <c r="AC20" s="165">
        <f t="shared" si="9"/>
        <v>0</v>
      </c>
      <c r="AD20" s="165">
        <v>0</v>
      </c>
      <c r="AE20" s="242">
        <v>0</v>
      </c>
      <c r="AF20" s="242">
        <v>0</v>
      </c>
      <c r="AG20" s="246">
        <v>0</v>
      </c>
      <c r="AH20" s="165">
        <f t="shared" si="10"/>
        <v>0</v>
      </c>
      <c r="AI20" s="247">
        <f t="shared" si="11"/>
        <v>1592</v>
      </c>
      <c r="AJ20" s="165"/>
      <c r="AK20" s="168"/>
      <c r="AL20" s="171"/>
    </row>
    <row r="21" spans="1:39" s="29" customFormat="1" ht="43.5" customHeight="1" x14ac:dyDescent="0.2">
      <c r="A21" s="5"/>
      <c r="B21" s="37">
        <v>6</v>
      </c>
      <c r="C21" s="37" t="s">
        <v>340</v>
      </c>
      <c r="D21" s="239" t="s">
        <v>161</v>
      </c>
      <c r="E21" s="240" t="s">
        <v>30</v>
      </c>
      <c r="F21" s="240">
        <v>15</v>
      </c>
      <c r="G21" s="241">
        <v>106.133</v>
      </c>
      <c r="H21" s="115">
        <f t="shared" si="0"/>
        <v>1592</v>
      </c>
      <c r="I21" s="242">
        <v>0</v>
      </c>
      <c r="J21" s="242">
        <f t="shared" si="1"/>
        <v>0</v>
      </c>
      <c r="K21" s="242">
        <v>0</v>
      </c>
      <c r="L21" s="242">
        <v>0</v>
      </c>
      <c r="M21" s="242">
        <v>0</v>
      </c>
      <c r="N21" s="242">
        <v>0</v>
      </c>
      <c r="O21" s="165">
        <f t="shared" si="2"/>
        <v>1592</v>
      </c>
      <c r="P21" s="243"/>
      <c r="Q21" s="165">
        <f t="shared" si="3"/>
        <v>0</v>
      </c>
      <c r="R21" s="165">
        <f t="shared" si="4"/>
        <v>1592</v>
      </c>
      <c r="S21" s="165">
        <v>318.01</v>
      </c>
      <c r="T21" s="165">
        <f t="shared" si="5"/>
        <v>1273.99</v>
      </c>
      <c r="U21" s="244">
        <v>6.4000000000000001E-2</v>
      </c>
      <c r="V21" s="165">
        <f t="shared" si="6"/>
        <v>81.535359999999997</v>
      </c>
      <c r="W21" s="165">
        <v>6.15</v>
      </c>
      <c r="X21" s="165">
        <f t="shared" si="7"/>
        <v>87.685360000000003</v>
      </c>
      <c r="Y21" s="165">
        <v>200.7</v>
      </c>
      <c r="Z21" s="165">
        <f t="shared" si="8"/>
        <v>-113.01463999999999</v>
      </c>
      <c r="AA21" s="245"/>
      <c r="AB21" s="165">
        <v>0</v>
      </c>
      <c r="AC21" s="165">
        <f t="shared" si="9"/>
        <v>0</v>
      </c>
      <c r="AD21" s="165">
        <v>0</v>
      </c>
      <c r="AE21" s="242">
        <v>0</v>
      </c>
      <c r="AF21" s="242">
        <v>0</v>
      </c>
      <c r="AG21" s="246">
        <v>0</v>
      </c>
      <c r="AH21" s="165">
        <f t="shared" si="10"/>
        <v>0</v>
      </c>
      <c r="AI21" s="247">
        <f t="shared" si="11"/>
        <v>1592</v>
      </c>
      <c r="AJ21" s="165"/>
      <c r="AK21" s="168"/>
      <c r="AL21" s="171"/>
    </row>
    <row r="22" spans="1:39" s="29" customFormat="1" ht="30.75" customHeight="1" x14ac:dyDescent="0.2">
      <c r="A22" s="5"/>
      <c r="B22" s="37">
        <v>7</v>
      </c>
      <c r="C22" s="37" t="s">
        <v>340</v>
      </c>
      <c r="D22" s="248" t="s">
        <v>124</v>
      </c>
      <c r="E22" s="240" t="s">
        <v>30</v>
      </c>
      <c r="F22" s="37">
        <v>15</v>
      </c>
      <c r="G22" s="241">
        <v>106.133</v>
      </c>
      <c r="H22" s="115">
        <f t="shared" si="0"/>
        <v>1592</v>
      </c>
      <c r="I22" s="242">
        <v>0</v>
      </c>
      <c r="J22" s="242">
        <f t="shared" si="1"/>
        <v>0</v>
      </c>
      <c r="K22" s="242">
        <v>0</v>
      </c>
      <c r="L22" s="242">
        <v>0</v>
      </c>
      <c r="M22" s="242">
        <v>0</v>
      </c>
      <c r="N22" s="242">
        <v>0</v>
      </c>
      <c r="O22" s="165">
        <f t="shared" si="2"/>
        <v>1592</v>
      </c>
      <c r="P22" s="243"/>
      <c r="Q22" s="165">
        <f t="shared" si="3"/>
        <v>0</v>
      </c>
      <c r="R22" s="165">
        <f t="shared" si="4"/>
        <v>1592</v>
      </c>
      <c r="S22" s="165">
        <v>318.01</v>
      </c>
      <c r="T22" s="165">
        <f t="shared" si="5"/>
        <v>1273.99</v>
      </c>
      <c r="U22" s="244">
        <v>6.4000000000000001E-2</v>
      </c>
      <c r="V22" s="165">
        <f t="shared" si="6"/>
        <v>81.535359999999997</v>
      </c>
      <c r="W22" s="165">
        <v>6.15</v>
      </c>
      <c r="X22" s="165">
        <f t="shared" si="7"/>
        <v>87.685360000000003</v>
      </c>
      <c r="Y22" s="165">
        <v>200.7</v>
      </c>
      <c r="Z22" s="165">
        <f t="shared" si="8"/>
        <v>-113.01463999999999</v>
      </c>
      <c r="AA22" s="243"/>
      <c r="AB22" s="165">
        <v>0</v>
      </c>
      <c r="AC22" s="165">
        <f t="shared" si="9"/>
        <v>0</v>
      </c>
      <c r="AD22" s="165">
        <v>0</v>
      </c>
      <c r="AE22" s="242">
        <v>0</v>
      </c>
      <c r="AF22" s="242">
        <v>0</v>
      </c>
      <c r="AG22" s="246">
        <v>0</v>
      </c>
      <c r="AH22" s="165">
        <f t="shared" si="10"/>
        <v>0</v>
      </c>
      <c r="AI22" s="247">
        <f t="shared" si="11"/>
        <v>1592</v>
      </c>
      <c r="AJ22" s="37"/>
      <c r="AK22" s="49"/>
      <c r="AL22" s="172"/>
    </row>
    <row r="23" spans="1:39" s="29" customFormat="1" ht="30.75" customHeight="1" x14ac:dyDescent="0.2">
      <c r="A23" s="5"/>
      <c r="B23" s="37">
        <v>8</v>
      </c>
      <c r="C23" s="37" t="s">
        <v>340</v>
      </c>
      <c r="D23" s="248" t="s">
        <v>457</v>
      </c>
      <c r="E23" s="240" t="s">
        <v>30</v>
      </c>
      <c r="F23" s="37">
        <v>15</v>
      </c>
      <c r="G23" s="241">
        <v>106.133</v>
      </c>
      <c r="H23" s="115">
        <f t="shared" ref="H23" si="12">ROUND(F23*G23,2)</f>
        <v>1592</v>
      </c>
      <c r="I23" s="242">
        <v>0</v>
      </c>
      <c r="J23" s="242">
        <f t="shared" ref="J23" si="13">I23</f>
        <v>0</v>
      </c>
      <c r="K23" s="242">
        <v>0</v>
      </c>
      <c r="L23" s="242">
        <v>0</v>
      </c>
      <c r="M23" s="242">
        <v>0</v>
      </c>
      <c r="N23" s="242">
        <v>0</v>
      </c>
      <c r="O23" s="165">
        <f t="shared" ref="O23" si="14">SUM(H23:N23)</f>
        <v>1592</v>
      </c>
      <c r="P23" s="243"/>
      <c r="Q23" s="165">
        <f t="shared" ref="Q23" si="15">IF(G23=47.16,0,IF(G23&gt;47.16,L23*0.5,0))</f>
        <v>0</v>
      </c>
      <c r="R23" s="165">
        <f t="shared" ref="R23" si="16">H23+I23+J23+M23+Q23+K23</f>
        <v>1592</v>
      </c>
      <c r="S23" s="165">
        <v>318.01</v>
      </c>
      <c r="T23" s="165">
        <f t="shared" ref="T23" si="17">R23-S23</f>
        <v>1273.99</v>
      </c>
      <c r="U23" s="244">
        <v>6.4000000000000001E-2</v>
      </c>
      <c r="V23" s="165">
        <f t="shared" ref="V23" si="18">T23*U23</f>
        <v>81.535359999999997</v>
      </c>
      <c r="W23" s="165">
        <v>6.15</v>
      </c>
      <c r="X23" s="165">
        <f t="shared" ref="X23" si="19">V23+W23</f>
        <v>87.685360000000003</v>
      </c>
      <c r="Y23" s="165">
        <v>200.7</v>
      </c>
      <c r="Z23" s="165">
        <f t="shared" ref="Z23" si="20">X23-Y23</f>
        <v>-113.01463999999999</v>
      </c>
      <c r="AA23" s="243"/>
      <c r="AB23" s="165">
        <v>0</v>
      </c>
      <c r="AC23" s="165">
        <f t="shared" ref="AC23" si="21">IF(Z23&lt;0,0,Z23)</f>
        <v>0</v>
      </c>
      <c r="AD23" s="165">
        <v>0</v>
      </c>
      <c r="AE23" s="242">
        <v>0</v>
      </c>
      <c r="AF23" s="242">
        <v>0</v>
      </c>
      <c r="AG23" s="246">
        <v>0</v>
      </c>
      <c r="AH23" s="165">
        <f t="shared" ref="AH23" si="22">SUM(AC23:AG23)</f>
        <v>0</v>
      </c>
      <c r="AI23" s="247">
        <f>O23+AB23-AH23</f>
        <v>1592</v>
      </c>
      <c r="AJ23" s="37"/>
      <c r="AK23" s="49"/>
      <c r="AL23" s="172"/>
    </row>
    <row r="24" spans="1:39" x14ac:dyDescent="0.2">
      <c r="B24" s="38"/>
      <c r="C24" s="38"/>
      <c r="D24" s="67"/>
      <c r="E24" s="38"/>
      <c r="F24" s="38"/>
      <c r="G24" s="38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174"/>
      <c r="T24" s="44"/>
      <c r="U24" s="44"/>
      <c r="V24" s="44"/>
      <c r="W24" s="44"/>
      <c r="X24" s="44"/>
      <c r="Y24" s="174"/>
      <c r="Z24" s="44"/>
      <c r="AA24" s="44"/>
      <c r="AB24" s="44"/>
      <c r="AC24" s="44"/>
      <c r="AD24" s="44"/>
      <c r="AE24" s="44"/>
      <c r="AF24" s="44"/>
      <c r="AG24" s="44"/>
      <c r="AH24" s="44"/>
      <c r="AI24" s="175"/>
      <c r="AJ24" s="38"/>
      <c r="AK24" s="168"/>
    </row>
    <row r="25" spans="1:39" ht="16.5" thickBot="1" x14ac:dyDescent="0.25">
      <c r="B25" s="413" t="s">
        <v>17</v>
      </c>
      <c r="C25" s="414"/>
      <c r="D25" s="414"/>
      <c r="E25" s="414"/>
      <c r="F25" s="414"/>
      <c r="G25" s="415"/>
      <c r="H25" s="45">
        <f>SUM(H16:H23)</f>
        <v>12736</v>
      </c>
      <c r="I25" s="45">
        <f t="shared" ref="I25:O25" si="23">SUM(I16:I22)</f>
        <v>0</v>
      </c>
      <c r="J25" s="45">
        <f t="shared" si="23"/>
        <v>0</v>
      </c>
      <c r="K25" s="45">
        <f t="shared" si="23"/>
        <v>0</v>
      </c>
      <c r="L25" s="45">
        <f t="shared" si="23"/>
        <v>0</v>
      </c>
      <c r="M25" s="45">
        <f t="shared" si="23"/>
        <v>0</v>
      </c>
      <c r="N25" s="45">
        <f t="shared" si="23"/>
        <v>0</v>
      </c>
      <c r="O25" s="45">
        <f t="shared" si="23"/>
        <v>11144</v>
      </c>
      <c r="P25" s="45"/>
      <c r="Q25" s="45">
        <f t="shared" ref="Q25:Z25" si="24">SUM(Q16:Q22)</f>
        <v>0</v>
      </c>
      <c r="R25" s="45">
        <f t="shared" si="24"/>
        <v>11144</v>
      </c>
      <c r="S25" s="45">
        <f t="shared" si="24"/>
        <v>2226.0699999999997</v>
      </c>
      <c r="T25" s="45">
        <f t="shared" si="24"/>
        <v>8917.93</v>
      </c>
      <c r="U25" s="45">
        <f t="shared" si="24"/>
        <v>0.44800000000000001</v>
      </c>
      <c r="V25" s="45">
        <f t="shared" si="24"/>
        <v>570.74751999999989</v>
      </c>
      <c r="W25" s="45">
        <f t="shared" si="24"/>
        <v>43.05</v>
      </c>
      <c r="X25" s="45">
        <f t="shared" si="24"/>
        <v>613.79752000000008</v>
      </c>
      <c r="Y25" s="45">
        <f t="shared" si="24"/>
        <v>1404.9</v>
      </c>
      <c r="Z25" s="45">
        <f t="shared" si="24"/>
        <v>-791.1024799999999</v>
      </c>
      <c r="AA25" s="45"/>
      <c r="AB25" s="45">
        <f t="shared" ref="AB25:AH25" si="25">SUM(AB16:AB22)</f>
        <v>0</v>
      </c>
      <c r="AC25" s="45">
        <f t="shared" si="25"/>
        <v>0</v>
      </c>
      <c r="AD25" s="45">
        <f t="shared" si="25"/>
        <v>0</v>
      </c>
      <c r="AE25" s="45">
        <f t="shared" si="25"/>
        <v>0</v>
      </c>
      <c r="AF25" s="45">
        <f t="shared" si="25"/>
        <v>0</v>
      </c>
      <c r="AG25" s="45">
        <f t="shared" si="25"/>
        <v>0</v>
      </c>
      <c r="AH25" s="45">
        <f t="shared" si="25"/>
        <v>0</v>
      </c>
      <c r="AI25" s="176">
        <f>SUM(AI16:AI23)</f>
        <v>12736</v>
      </c>
      <c r="AJ25" s="38"/>
      <c r="AK25" s="168"/>
      <c r="AL25" s="172">
        <f>O25+AB25-AH25</f>
        <v>11144</v>
      </c>
    </row>
    <row r="26" spans="1:39" ht="18" thickTop="1" x14ac:dyDescent="0.2">
      <c r="B26" s="38"/>
      <c r="C26" s="38"/>
      <c r="D26" s="67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167"/>
      <c r="AJ26" s="38"/>
      <c r="AK26" s="168"/>
    </row>
    <row r="27" spans="1:39" x14ac:dyDescent="0.2">
      <c r="B27" s="38"/>
      <c r="C27" s="38"/>
      <c r="D27" s="6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167"/>
      <c r="AJ27" s="38"/>
      <c r="AK27" s="168"/>
    </row>
    <row r="28" spans="1:39" x14ac:dyDescent="0.2">
      <c r="B28" s="38"/>
      <c r="C28" s="38"/>
      <c r="D28" s="6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167"/>
      <c r="AJ28" s="38"/>
      <c r="AK28" s="168"/>
    </row>
    <row r="29" spans="1:39" x14ac:dyDescent="0.2">
      <c r="B29" s="38"/>
      <c r="C29" s="38"/>
      <c r="D29" s="67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167"/>
      <c r="AJ29" s="38"/>
      <c r="AK29" s="168"/>
    </row>
    <row r="30" spans="1:39" x14ac:dyDescent="0.2">
      <c r="B30" s="38"/>
      <c r="C30" s="38"/>
      <c r="D30" s="6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167"/>
      <c r="AJ30" s="38"/>
      <c r="AK30" s="168"/>
    </row>
    <row r="31" spans="1:39" x14ac:dyDescent="0.2">
      <c r="B31" s="38"/>
      <c r="C31" s="38"/>
      <c r="D31" s="67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167"/>
      <c r="AJ31" s="38"/>
      <c r="AK31" s="168"/>
    </row>
    <row r="32" spans="1:39" x14ac:dyDescent="0.2">
      <c r="B32" s="38"/>
      <c r="C32" s="38"/>
      <c r="D32" s="67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167"/>
      <c r="AJ32" s="38"/>
      <c r="AK32" s="168"/>
    </row>
    <row r="33" spans="1:37" x14ac:dyDescent="0.2">
      <c r="B33" s="38"/>
      <c r="C33" s="38"/>
      <c r="D33" s="67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167"/>
      <c r="AJ33" s="38"/>
      <c r="AK33" s="168"/>
    </row>
    <row r="34" spans="1:37" ht="18" thickBot="1" x14ac:dyDescent="0.25">
      <c r="A34" s="5" t="s">
        <v>28</v>
      </c>
      <c r="B34" s="38"/>
      <c r="C34" s="38"/>
      <c r="D34" s="69"/>
      <c r="E34" s="46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46"/>
      <c r="AC34" s="46"/>
      <c r="AD34" s="38"/>
      <c r="AE34" s="38"/>
      <c r="AF34" s="38"/>
      <c r="AG34" s="46"/>
      <c r="AH34" s="46"/>
      <c r="AI34" s="177"/>
      <c r="AJ34" s="46"/>
      <c r="AK34" s="168"/>
    </row>
    <row r="35" spans="1:37" ht="31.5" customHeight="1" x14ac:dyDescent="0.2">
      <c r="B35" s="38"/>
      <c r="C35" s="38"/>
      <c r="D35" s="416" t="s">
        <v>455</v>
      </c>
      <c r="E35" s="416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417" t="s">
        <v>266</v>
      </c>
      <c r="AC35" s="417"/>
      <c r="AD35" s="417"/>
      <c r="AE35" s="417"/>
      <c r="AF35" s="417"/>
      <c r="AG35" s="417"/>
      <c r="AH35" s="417"/>
      <c r="AI35" s="417"/>
      <c r="AJ35" s="417"/>
      <c r="AK35" s="168"/>
    </row>
    <row r="36" spans="1:37" ht="31.5" customHeight="1" x14ac:dyDescent="0.2">
      <c r="B36" s="38"/>
      <c r="C36" s="38"/>
      <c r="D36" s="418" t="s">
        <v>136</v>
      </c>
      <c r="E36" s="41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417" t="s">
        <v>337</v>
      </c>
      <c r="AC36" s="417"/>
      <c r="AD36" s="417"/>
      <c r="AE36" s="417"/>
      <c r="AF36" s="417"/>
      <c r="AG36" s="417"/>
      <c r="AH36" s="417"/>
      <c r="AI36" s="417"/>
      <c r="AJ36" s="417"/>
      <c r="AK36" s="168"/>
    </row>
    <row r="37" spans="1:37" x14ac:dyDescent="0.2">
      <c r="B37" s="47"/>
      <c r="C37" s="47"/>
      <c r="D37" s="67"/>
      <c r="E37" s="47"/>
      <c r="F37" s="47"/>
      <c r="G37" s="47"/>
      <c r="AJ37" s="47"/>
      <c r="AK37" s="179"/>
    </row>
    <row r="38" spans="1:37" x14ac:dyDescent="0.2">
      <c r="B38" s="47"/>
      <c r="C38" s="47"/>
      <c r="D38" s="67"/>
      <c r="E38" s="47"/>
      <c r="F38" s="47"/>
      <c r="G38" s="47"/>
      <c r="AJ38" s="47"/>
      <c r="AK38" s="179"/>
    </row>
    <row r="39" spans="1:37" x14ac:dyDescent="0.2">
      <c r="B39" s="47"/>
      <c r="C39" s="47"/>
      <c r="D39" s="67"/>
      <c r="E39" s="47"/>
      <c r="F39" s="47"/>
      <c r="G39" s="47"/>
      <c r="H39" s="47" t="s">
        <v>90</v>
      </c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178">
        <f>+AI16+AI17+AI18+AI19+AI20+AI21+AI22</f>
        <v>11144</v>
      </c>
      <c r="AJ39" s="47"/>
      <c r="AK39" s="179"/>
    </row>
    <row r="40" spans="1:37" x14ac:dyDescent="0.2">
      <c r="B40" s="47"/>
      <c r="C40" s="47"/>
      <c r="D40" s="67"/>
      <c r="E40" s="47"/>
      <c r="F40" s="47"/>
      <c r="G40" s="47"/>
      <c r="H40" s="47" t="s">
        <v>91</v>
      </c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178">
        <v>0</v>
      </c>
      <c r="AJ40" s="47"/>
      <c r="AK40" s="179"/>
    </row>
    <row r="41" spans="1:37" x14ac:dyDescent="0.2">
      <c r="B41" s="47"/>
      <c r="C41" s="47"/>
      <c r="D41" s="6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178">
        <f>+AI39+AI40</f>
        <v>11144</v>
      </c>
      <c r="AJ41" s="47"/>
      <c r="AK41" s="179"/>
    </row>
    <row r="42" spans="1:37" x14ac:dyDescent="0.2">
      <c r="B42" s="47"/>
      <c r="C42" s="47"/>
      <c r="D42" s="6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180"/>
      <c r="AJ42" s="47"/>
      <c r="AK42" s="179"/>
    </row>
    <row r="43" spans="1:37" x14ac:dyDescent="0.2">
      <c r="AI43" s="181"/>
    </row>
  </sheetData>
  <mergeCells count="16">
    <mergeCell ref="B11:AI11"/>
    <mergeCell ref="B12:AI12"/>
    <mergeCell ref="H13:O13"/>
    <mergeCell ref="S13:X13"/>
    <mergeCell ref="AB13:AB15"/>
    <mergeCell ref="AC13:AH13"/>
    <mergeCell ref="AI13:AI15"/>
    <mergeCell ref="H14:H15"/>
    <mergeCell ref="N14:N15"/>
    <mergeCell ref="O14:O15"/>
    <mergeCell ref="AH14:AH15"/>
    <mergeCell ref="B25:G25"/>
    <mergeCell ref="D35:E35"/>
    <mergeCell ref="AB35:AJ35"/>
    <mergeCell ref="D36:E36"/>
    <mergeCell ref="AB36:AJ36"/>
  </mergeCells>
  <pageMargins left="0.7" right="0.7" top="0.75" bottom="0.75" header="0.3" footer="0.3"/>
  <pageSetup scale="54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L69"/>
  <sheetViews>
    <sheetView showGridLines="0" workbookViewId="0">
      <selection activeCell="C51" sqref="C1:C1048576"/>
    </sheetView>
  </sheetViews>
  <sheetFormatPr baseColWidth="10" defaultRowHeight="12.75" x14ac:dyDescent="0.2"/>
  <cols>
    <col min="3" max="3" width="17.140625" style="34" customWidth="1"/>
    <col min="4" max="4" width="22.7109375" customWidth="1"/>
    <col min="5" max="5" width="13.140625" customWidth="1"/>
    <col min="6" max="6" width="13.42578125" hidden="1" customWidth="1"/>
    <col min="7" max="7" width="13.85546875" style="192" customWidth="1"/>
    <col min="8" max="8" width="27.85546875" customWidth="1"/>
    <col min="9" max="35" width="0" hidden="1" customWidth="1"/>
  </cols>
  <sheetData>
    <row r="2" spans="1:38" x14ac:dyDescent="0.2">
      <c r="A2" s="38"/>
      <c r="B2" s="38"/>
      <c r="C2" s="43"/>
      <c r="D2" s="38"/>
      <c r="E2" s="38"/>
      <c r="F2" s="38"/>
      <c r="G2" s="184"/>
      <c r="H2" s="38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8" ht="20.25" customHeight="1" x14ac:dyDescent="0.2">
      <c r="A3" s="38"/>
      <c r="B3" s="38"/>
      <c r="C3" s="418"/>
      <c r="D3" s="418"/>
      <c r="E3" s="418"/>
      <c r="F3" s="418"/>
      <c r="G3" s="418"/>
      <c r="H3" s="418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</row>
    <row r="4" spans="1:38" x14ac:dyDescent="0.2">
      <c r="A4" s="38"/>
      <c r="B4" s="38"/>
      <c r="C4" s="43"/>
      <c r="D4" s="38"/>
      <c r="E4" s="38"/>
      <c r="F4" s="38"/>
      <c r="G4" s="184"/>
      <c r="H4" s="38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</row>
    <row r="5" spans="1:38" x14ac:dyDescent="0.2">
      <c r="A5" s="38"/>
      <c r="B5" s="38"/>
      <c r="C5" s="43"/>
      <c r="D5" s="38"/>
      <c r="E5" s="38"/>
      <c r="F5" s="38"/>
      <c r="G5" s="184"/>
      <c r="H5" s="38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</row>
    <row r="6" spans="1:38" x14ac:dyDescent="0.2">
      <c r="A6" s="436" t="s">
        <v>479</v>
      </c>
      <c r="B6" s="436"/>
      <c r="C6" s="436"/>
      <c r="D6" s="436"/>
      <c r="E6" s="436"/>
      <c r="F6" s="436"/>
      <c r="G6" s="436"/>
      <c r="H6" s="43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</row>
    <row r="7" spans="1:38" x14ac:dyDescent="0.2">
      <c r="A7" s="431" t="s">
        <v>131</v>
      </c>
      <c r="B7" s="194"/>
      <c r="C7" s="437" t="s">
        <v>27</v>
      </c>
      <c r="D7" s="37"/>
      <c r="E7" s="36" t="s">
        <v>130</v>
      </c>
      <c r="F7" s="36" t="s">
        <v>1</v>
      </c>
      <c r="G7" s="440" t="s">
        <v>302</v>
      </c>
      <c r="H7" s="431" t="s">
        <v>300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</row>
    <row r="8" spans="1:38" x14ac:dyDescent="0.2">
      <c r="A8" s="432"/>
      <c r="B8" s="195" t="s">
        <v>340</v>
      </c>
      <c r="C8" s="438"/>
      <c r="D8" s="36" t="s">
        <v>95</v>
      </c>
      <c r="E8" s="50" t="s">
        <v>15</v>
      </c>
      <c r="F8" s="36" t="s">
        <v>16</v>
      </c>
      <c r="G8" s="441"/>
      <c r="H8" s="432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</row>
    <row r="9" spans="1:38" x14ac:dyDescent="0.2">
      <c r="A9" s="433"/>
      <c r="B9" s="196"/>
      <c r="C9" s="439"/>
      <c r="D9" s="36"/>
      <c r="E9" s="36"/>
      <c r="F9" s="36"/>
      <c r="G9" s="442"/>
      <c r="H9" s="433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183">
        <f>+G10+G11+G12+G13+G14+G15+G16+G17+G18+G19+G20+G21</f>
        <v>16064</v>
      </c>
      <c r="AL9" t="s">
        <v>90</v>
      </c>
    </row>
    <row r="10" spans="1:38" ht="25.5" x14ac:dyDescent="0.2">
      <c r="A10" s="37">
        <v>1</v>
      </c>
      <c r="B10" s="37" t="s">
        <v>340</v>
      </c>
      <c r="C10" s="78" t="s">
        <v>96</v>
      </c>
      <c r="D10" s="240" t="s">
        <v>142</v>
      </c>
      <c r="E10" s="240">
        <v>15</v>
      </c>
      <c r="F10" s="241">
        <v>92.6</v>
      </c>
      <c r="G10" s="250">
        <f>E10*F10</f>
        <v>1389</v>
      </c>
      <c r="H10" s="165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166"/>
      <c r="AL10" t="s">
        <v>91</v>
      </c>
    </row>
    <row r="11" spans="1:38" ht="38.25" x14ac:dyDescent="0.2">
      <c r="A11" s="37">
        <v>2</v>
      </c>
      <c r="B11" s="37" t="s">
        <v>340</v>
      </c>
      <c r="C11" s="78" t="s">
        <v>97</v>
      </c>
      <c r="D11" s="240" t="s">
        <v>139</v>
      </c>
      <c r="E11" s="240">
        <v>15</v>
      </c>
      <c r="F11" s="241">
        <v>133.33000000000001</v>
      </c>
      <c r="G11" s="250">
        <v>2000</v>
      </c>
      <c r="H11" s="165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</row>
    <row r="12" spans="1:38" ht="25.5" x14ac:dyDescent="0.2">
      <c r="A12" s="37">
        <v>3</v>
      </c>
      <c r="B12" s="37" t="s">
        <v>340</v>
      </c>
      <c r="C12" s="78" t="s">
        <v>134</v>
      </c>
      <c r="D12" s="240" t="s">
        <v>140</v>
      </c>
      <c r="E12" s="240">
        <v>15</v>
      </c>
      <c r="F12" s="241">
        <v>86.73</v>
      </c>
      <c r="G12" s="250">
        <v>1301</v>
      </c>
      <c r="H12" s="165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</row>
    <row r="13" spans="1:38" ht="25.5" x14ac:dyDescent="0.2">
      <c r="A13" s="37">
        <v>4</v>
      </c>
      <c r="B13" s="37" t="s">
        <v>340</v>
      </c>
      <c r="C13" s="78" t="s">
        <v>135</v>
      </c>
      <c r="D13" s="240" t="s">
        <v>444</v>
      </c>
      <c r="E13" s="240">
        <v>15</v>
      </c>
      <c r="F13" s="241">
        <v>86.73</v>
      </c>
      <c r="G13" s="250">
        <v>1301</v>
      </c>
      <c r="H13" s="165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</row>
    <row r="14" spans="1:38" ht="25.5" x14ac:dyDescent="0.2">
      <c r="A14" s="37">
        <v>5</v>
      </c>
      <c r="B14" s="37" t="s">
        <v>340</v>
      </c>
      <c r="C14" s="78" t="s">
        <v>106</v>
      </c>
      <c r="D14" s="240" t="s">
        <v>141</v>
      </c>
      <c r="E14" s="240">
        <v>15</v>
      </c>
      <c r="F14" s="241">
        <v>80</v>
      </c>
      <c r="G14" s="250">
        <v>1200</v>
      </c>
      <c r="H14" s="165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</row>
    <row r="15" spans="1:38" ht="25.5" x14ac:dyDescent="0.2">
      <c r="A15" s="37">
        <v>6</v>
      </c>
      <c r="B15" s="37" t="s">
        <v>340</v>
      </c>
      <c r="C15" s="78" t="s">
        <v>106</v>
      </c>
      <c r="D15" s="240" t="s">
        <v>145</v>
      </c>
      <c r="E15" s="240">
        <v>15</v>
      </c>
      <c r="F15" s="241">
        <v>100</v>
      </c>
      <c r="G15" s="250">
        <v>1500</v>
      </c>
      <c r="H15" s="165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</row>
    <row r="16" spans="1:38" ht="38.25" x14ac:dyDescent="0.2">
      <c r="A16" s="37">
        <v>7</v>
      </c>
      <c r="B16" s="37" t="s">
        <v>340</v>
      </c>
      <c r="C16" s="78" t="s">
        <v>138</v>
      </c>
      <c r="D16" s="240" t="s">
        <v>148</v>
      </c>
      <c r="E16" s="240">
        <v>15</v>
      </c>
      <c r="F16" s="241">
        <v>65</v>
      </c>
      <c r="G16" s="250">
        <f>E16*F16</f>
        <v>975</v>
      </c>
      <c r="H16" s="165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</row>
    <row r="17" spans="1:37" s="4" customFormat="1" ht="25.5" x14ac:dyDescent="0.2">
      <c r="A17" s="37">
        <v>8</v>
      </c>
      <c r="B17" s="37" t="s">
        <v>340</v>
      </c>
      <c r="C17" s="252" t="s">
        <v>129</v>
      </c>
      <c r="D17" s="37" t="s">
        <v>293</v>
      </c>
      <c r="E17" s="240">
        <v>15</v>
      </c>
      <c r="F17" s="253">
        <v>88.67</v>
      </c>
      <c r="G17" s="250">
        <v>1330</v>
      </c>
      <c r="H17" s="3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</row>
    <row r="18" spans="1:37" s="4" customFormat="1" ht="25.5" x14ac:dyDescent="0.2">
      <c r="A18" s="37">
        <v>9</v>
      </c>
      <c r="B18" s="37" t="s">
        <v>340</v>
      </c>
      <c r="C18" s="78" t="s">
        <v>137</v>
      </c>
      <c r="D18" s="37" t="s">
        <v>143</v>
      </c>
      <c r="E18" s="240">
        <v>15</v>
      </c>
      <c r="F18" s="253">
        <v>64.53</v>
      </c>
      <c r="G18" s="250">
        <v>968</v>
      </c>
      <c r="H18" s="3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</row>
    <row r="19" spans="1:37" ht="20.25" customHeight="1" x14ac:dyDescent="0.2">
      <c r="A19" s="37">
        <v>10</v>
      </c>
      <c r="B19" s="37" t="s">
        <v>340</v>
      </c>
      <c r="C19" s="252"/>
      <c r="D19" s="37"/>
      <c r="E19" s="240">
        <v>15</v>
      </c>
      <c r="F19" s="37">
        <v>80</v>
      </c>
      <c r="G19" s="250">
        <v>1200</v>
      </c>
      <c r="H19" s="37"/>
      <c r="I19" s="47" t="s">
        <v>301</v>
      </c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</row>
    <row r="20" spans="1:37" ht="39.75" customHeight="1" x14ac:dyDescent="0.2">
      <c r="A20" s="37">
        <v>11</v>
      </c>
      <c r="B20" s="206" t="s">
        <v>340</v>
      </c>
      <c r="C20" s="251" t="s">
        <v>154</v>
      </c>
      <c r="D20" s="206" t="s">
        <v>294</v>
      </c>
      <c r="E20" s="240">
        <v>15</v>
      </c>
      <c r="F20" s="255">
        <f>G20/15</f>
        <v>113.33333333333333</v>
      </c>
      <c r="G20" s="250">
        <v>1700</v>
      </c>
      <c r="H20" s="3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</row>
    <row r="21" spans="1:37" ht="41.25" customHeight="1" x14ac:dyDescent="0.2">
      <c r="A21" s="256">
        <v>12</v>
      </c>
      <c r="B21" s="256" t="s">
        <v>340</v>
      </c>
      <c r="C21" s="254" t="s">
        <v>155</v>
      </c>
      <c r="D21" s="37" t="s">
        <v>295</v>
      </c>
      <c r="E21" s="257">
        <v>15</v>
      </c>
      <c r="F21" s="255">
        <v>80</v>
      </c>
      <c r="G21" s="250">
        <f>E21*F21</f>
        <v>1200</v>
      </c>
      <c r="H21" s="3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</row>
    <row r="22" spans="1:37" ht="13.5" thickBot="1" x14ac:dyDescent="0.25">
      <c r="A22" s="427" t="s">
        <v>17</v>
      </c>
      <c r="B22" s="428"/>
      <c r="C22" s="428"/>
      <c r="D22" s="428"/>
      <c r="E22" s="428"/>
      <c r="F22" s="429"/>
      <c r="G22" s="185">
        <f>SUM(G10:G21)</f>
        <v>16064</v>
      </c>
      <c r="H22" s="38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164"/>
    </row>
    <row r="23" spans="1:37" ht="13.5" thickTop="1" x14ac:dyDescent="0.2">
      <c r="A23" s="38"/>
      <c r="B23" s="38"/>
      <c r="C23" s="43"/>
      <c r="D23" s="38"/>
      <c r="E23" s="38"/>
      <c r="F23" s="38"/>
      <c r="G23" s="184"/>
      <c r="H23" s="3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</row>
    <row r="24" spans="1:37" x14ac:dyDescent="0.2">
      <c r="A24" s="38"/>
      <c r="B24" s="38"/>
      <c r="C24" s="43"/>
      <c r="D24" s="38"/>
      <c r="E24" s="38"/>
      <c r="F24" s="38"/>
      <c r="G24" s="184"/>
      <c r="H24" s="3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</row>
    <row r="25" spans="1:37" ht="13.5" thickBot="1" x14ac:dyDescent="0.25">
      <c r="A25" s="38"/>
      <c r="B25" s="38"/>
      <c r="C25" s="43"/>
      <c r="D25" s="38"/>
      <c r="E25" s="38"/>
      <c r="F25" s="38"/>
      <c r="G25" s="186"/>
      <c r="H25" s="46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</row>
    <row r="26" spans="1:37" ht="15" customHeight="1" x14ac:dyDescent="0.2">
      <c r="A26" s="416" t="s">
        <v>455</v>
      </c>
      <c r="B26" s="416"/>
      <c r="C26" s="43"/>
      <c r="D26" s="40"/>
      <c r="E26" s="40"/>
      <c r="F26" s="40"/>
      <c r="G26" s="417" t="s">
        <v>266</v>
      </c>
      <c r="H26" s="41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</row>
    <row r="27" spans="1:37" ht="12.95" customHeight="1" x14ac:dyDescent="0.2">
      <c r="A27" s="418" t="s">
        <v>126</v>
      </c>
      <c r="B27" s="418"/>
      <c r="C27" s="43"/>
      <c r="D27" s="38"/>
      <c r="E27" s="38"/>
      <c r="F27" s="38"/>
      <c r="G27" s="418" t="s">
        <v>98</v>
      </c>
      <c r="H27" s="418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</row>
    <row r="28" spans="1:37" x14ac:dyDescent="0.2">
      <c r="A28" s="47"/>
      <c r="B28" s="47"/>
      <c r="C28" s="55"/>
      <c r="D28" s="47"/>
      <c r="E28" s="47"/>
      <c r="F28" s="47"/>
      <c r="G28" s="18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</row>
    <row r="29" spans="1:37" x14ac:dyDescent="0.2">
      <c r="A29" s="47"/>
      <c r="B29" s="47"/>
      <c r="C29" s="55"/>
      <c r="D29" s="47"/>
      <c r="E29" s="47"/>
      <c r="F29" s="47"/>
      <c r="G29" s="18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</row>
    <row r="30" spans="1:37" x14ac:dyDescent="0.2">
      <c r="A30" s="47"/>
      <c r="B30" s="47"/>
      <c r="C30" s="55"/>
      <c r="D30" s="47"/>
      <c r="E30" s="47"/>
      <c r="F30" s="47"/>
      <c r="G30" s="18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</row>
    <row r="31" spans="1:37" ht="15" customHeight="1" x14ac:dyDescent="0.2">
      <c r="A31" s="47"/>
      <c r="B31" s="47"/>
      <c r="C31" s="55"/>
      <c r="D31" s="47"/>
      <c r="E31" s="47"/>
      <c r="F31" s="47"/>
      <c r="G31" s="18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</row>
    <row r="32" spans="1:37" ht="15" customHeight="1" x14ac:dyDescent="0.2">
      <c r="A32" s="47"/>
      <c r="B32" s="47"/>
      <c r="C32" s="55"/>
      <c r="D32" s="47"/>
      <c r="E32" s="47"/>
      <c r="F32" s="47"/>
      <c r="G32" s="18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</row>
    <row r="33" spans="1:36" ht="20.25" customHeight="1" x14ac:dyDescent="0.2">
      <c r="A33" s="47"/>
      <c r="B33" s="47"/>
      <c r="C33" s="55"/>
      <c r="D33" s="47"/>
      <c r="E33" s="47"/>
      <c r="F33" s="47"/>
      <c r="G33" s="18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</row>
    <row r="34" spans="1:36" x14ac:dyDescent="0.2">
      <c r="A34" s="47"/>
      <c r="B34" s="47"/>
      <c r="C34" s="55"/>
      <c r="D34" s="47"/>
      <c r="E34" s="47"/>
      <c r="F34" s="47"/>
      <c r="G34" s="18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</row>
    <row r="35" spans="1:36" hidden="1" x14ac:dyDescent="0.2">
      <c r="A35" s="47"/>
      <c r="B35" s="47"/>
      <c r="C35" s="55"/>
      <c r="D35" s="47"/>
      <c r="E35" s="47"/>
      <c r="F35" s="47"/>
      <c r="G35" s="18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</row>
    <row r="36" spans="1:36" hidden="1" x14ac:dyDescent="0.2">
      <c r="A36" s="47"/>
      <c r="B36" s="47"/>
      <c r="C36" s="55"/>
      <c r="D36" s="47"/>
      <c r="E36" s="47"/>
      <c r="F36" s="47"/>
      <c r="G36" s="18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</row>
    <row r="37" spans="1:36" hidden="1" x14ac:dyDescent="0.2">
      <c r="A37" s="47"/>
      <c r="B37" s="47"/>
      <c r="C37" s="55"/>
      <c r="D37" s="47"/>
      <c r="E37" s="47" t="s">
        <v>90</v>
      </c>
      <c r="F37" s="47"/>
      <c r="G37" s="18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</row>
    <row r="38" spans="1:36" hidden="1" x14ac:dyDescent="0.2">
      <c r="A38" s="47"/>
      <c r="B38" s="47"/>
      <c r="C38" s="55"/>
      <c r="D38" s="47"/>
      <c r="E38" s="47" t="s">
        <v>91</v>
      </c>
      <c r="F38" s="47"/>
      <c r="G38" s="18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</row>
    <row r="39" spans="1:36" hidden="1" x14ac:dyDescent="0.2">
      <c r="A39" s="47"/>
      <c r="B39" s="47"/>
      <c r="C39" s="55"/>
      <c r="D39" s="47"/>
      <c r="E39" s="47"/>
      <c r="F39" s="47"/>
      <c r="G39" s="18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</row>
    <row r="40" spans="1:36" hidden="1" x14ac:dyDescent="0.2">
      <c r="A40" s="47"/>
      <c r="B40" s="47"/>
      <c r="C40" s="55"/>
      <c r="D40" s="47"/>
      <c r="E40" s="47"/>
      <c r="F40" s="47"/>
      <c r="G40" s="18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</row>
    <row r="41" spans="1:36" hidden="1" x14ac:dyDescent="0.2">
      <c r="A41" s="47"/>
      <c r="B41" s="47"/>
      <c r="C41" s="55"/>
      <c r="D41" s="47"/>
      <c r="E41" s="47"/>
      <c r="F41" s="47"/>
      <c r="G41" s="18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</row>
    <row r="42" spans="1:36" x14ac:dyDescent="0.2">
      <c r="A42" s="47"/>
      <c r="B42" s="47"/>
      <c r="C42" s="55"/>
      <c r="D42" s="41"/>
      <c r="E42" s="47"/>
      <c r="F42" s="41"/>
      <c r="G42" s="18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</row>
    <row r="43" spans="1:36" x14ac:dyDescent="0.2">
      <c r="A43" s="47"/>
      <c r="B43" s="47"/>
      <c r="C43" s="55"/>
      <c r="D43" s="47"/>
      <c r="E43" s="47"/>
      <c r="F43" s="47"/>
      <c r="G43" s="18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</row>
    <row r="44" spans="1:36" x14ac:dyDescent="0.2">
      <c r="A44" s="419" t="s">
        <v>122</v>
      </c>
      <c r="B44" s="419"/>
      <c r="C44" s="419"/>
      <c r="D44" s="419"/>
      <c r="E44" s="419"/>
      <c r="F44" s="419"/>
      <c r="G44" s="419"/>
      <c r="H44" s="419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</row>
    <row r="45" spans="1:36" x14ac:dyDescent="0.2">
      <c r="A45" s="430" t="s">
        <v>479</v>
      </c>
      <c r="B45" s="430"/>
      <c r="C45" s="430"/>
      <c r="D45" s="430"/>
      <c r="E45" s="430"/>
      <c r="F45" s="430"/>
      <c r="G45" s="430"/>
      <c r="H45" s="430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</row>
    <row r="46" spans="1:36" x14ac:dyDescent="0.2">
      <c r="A46" s="56"/>
      <c r="B46" s="56"/>
      <c r="C46" s="57"/>
      <c r="D46" s="56"/>
      <c r="E46" s="163" t="s">
        <v>130</v>
      </c>
      <c r="F46" s="163" t="s">
        <v>1</v>
      </c>
      <c r="G46" s="188" t="s">
        <v>289</v>
      </c>
      <c r="H46" s="431" t="s">
        <v>300</v>
      </c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</row>
    <row r="47" spans="1:36" x14ac:dyDescent="0.2">
      <c r="A47" s="51" t="s">
        <v>131</v>
      </c>
      <c r="B47" s="51" t="s">
        <v>340</v>
      </c>
      <c r="C47" s="52" t="s">
        <v>27</v>
      </c>
      <c r="D47" s="51" t="s">
        <v>95</v>
      </c>
      <c r="E47" s="162" t="s">
        <v>15</v>
      </c>
      <c r="F47" s="51" t="s">
        <v>16</v>
      </c>
      <c r="G47" s="189" t="s">
        <v>299</v>
      </c>
      <c r="H47" s="432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</row>
    <row r="48" spans="1:36" x14ac:dyDescent="0.2">
      <c r="A48" s="53"/>
      <c r="B48" s="53"/>
      <c r="C48" s="54"/>
      <c r="D48" s="53"/>
      <c r="E48" s="53"/>
      <c r="F48" s="53"/>
      <c r="G48" s="190" t="s">
        <v>298</v>
      </c>
      <c r="H48" s="433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</row>
    <row r="49" spans="1:36" ht="25.5" x14ac:dyDescent="0.2">
      <c r="A49" s="258">
        <v>1</v>
      </c>
      <c r="B49" s="258" t="s">
        <v>340</v>
      </c>
      <c r="C49" s="259" t="s">
        <v>123</v>
      </c>
      <c r="D49" s="260" t="s">
        <v>147</v>
      </c>
      <c r="E49" s="260">
        <v>15</v>
      </c>
      <c r="F49" s="261">
        <f>G49/E49</f>
        <v>100</v>
      </c>
      <c r="G49" s="262">
        <v>1500</v>
      </c>
      <c r="H49" s="161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</row>
    <row r="50" spans="1:36" ht="25.5" x14ac:dyDescent="0.2">
      <c r="A50" s="258">
        <v>2</v>
      </c>
      <c r="B50" s="258" t="s">
        <v>340</v>
      </c>
      <c r="C50" s="259" t="s">
        <v>339</v>
      </c>
      <c r="D50" s="260" t="s">
        <v>441</v>
      </c>
      <c r="E50" s="260">
        <v>15</v>
      </c>
      <c r="F50" s="261">
        <f>G50/E50</f>
        <v>129.80000000000001</v>
      </c>
      <c r="G50" s="262">
        <v>1947</v>
      </c>
      <c r="H50" s="161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</row>
    <row r="51" spans="1:36" s="5" customFormat="1" ht="21.75" customHeight="1" x14ac:dyDescent="0.2">
      <c r="A51" s="258">
        <v>3</v>
      </c>
      <c r="B51" s="258" t="s">
        <v>340</v>
      </c>
      <c r="C51" s="260" t="s">
        <v>104</v>
      </c>
      <c r="D51" s="260" t="s">
        <v>146</v>
      </c>
      <c r="E51" s="260">
        <v>15</v>
      </c>
      <c r="F51" s="261">
        <v>100</v>
      </c>
      <c r="G51" s="262">
        <v>1500</v>
      </c>
      <c r="H51" s="159"/>
      <c r="I51" s="155"/>
      <c r="J51" s="155"/>
      <c r="K51" s="155"/>
      <c r="L51" s="155"/>
      <c r="M51" s="155"/>
      <c r="N51" s="153"/>
      <c r="O51" s="158"/>
      <c r="P51" s="153"/>
      <c r="Q51" s="153"/>
      <c r="R51" s="153"/>
      <c r="S51" s="153"/>
      <c r="T51" s="157"/>
      <c r="U51" s="153"/>
      <c r="V51" s="153"/>
      <c r="W51" s="153"/>
      <c r="X51" s="153"/>
      <c r="Y51" s="153"/>
      <c r="Z51" s="156"/>
      <c r="AA51" s="153"/>
      <c r="AB51" s="153"/>
      <c r="AC51" s="153"/>
      <c r="AD51" s="155"/>
      <c r="AE51" s="155"/>
      <c r="AF51" s="154"/>
      <c r="AG51" s="153"/>
      <c r="AH51" s="153">
        <v>2000</v>
      </c>
      <c r="AI51" s="160"/>
      <c r="AJ51" s="47"/>
    </row>
    <row r="52" spans="1:36" s="5" customFormat="1" ht="26.25" customHeight="1" x14ac:dyDescent="0.2">
      <c r="A52" s="258">
        <v>4</v>
      </c>
      <c r="B52" s="258" t="s">
        <v>340</v>
      </c>
      <c r="C52" s="259" t="s">
        <v>128</v>
      </c>
      <c r="D52" s="260" t="s">
        <v>144</v>
      </c>
      <c r="E52" s="260">
        <v>15</v>
      </c>
      <c r="F52" s="261">
        <v>105.33</v>
      </c>
      <c r="G52" s="262">
        <v>1580</v>
      </c>
      <c r="H52" s="159"/>
      <c r="I52" s="155"/>
      <c r="J52" s="155"/>
      <c r="K52" s="155"/>
      <c r="L52" s="155"/>
      <c r="M52" s="155"/>
      <c r="N52" s="153"/>
      <c r="O52" s="158"/>
      <c r="P52" s="153"/>
      <c r="Q52" s="153"/>
      <c r="R52" s="153"/>
      <c r="S52" s="153"/>
      <c r="T52" s="157"/>
      <c r="U52" s="153"/>
      <c r="V52" s="153"/>
      <c r="W52" s="153"/>
      <c r="X52" s="153"/>
      <c r="Y52" s="153"/>
      <c r="Z52" s="156"/>
      <c r="AA52" s="153"/>
      <c r="AB52" s="153"/>
      <c r="AC52" s="153"/>
      <c r="AD52" s="155"/>
      <c r="AE52" s="155"/>
      <c r="AF52" s="154"/>
      <c r="AG52" s="153"/>
      <c r="AH52" s="153">
        <v>1800</v>
      </c>
      <c r="AI52" s="153"/>
      <c r="AJ52" s="47"/>
    </row>
    <row r="53" spans="1:36" s="5" customFormat="1" ht="38.25" x14ac:dyDescent="0.2">
      <c r="A53" s="258">
        <v>5</v>
      </c>
      <c r="B53" s="258" t="s">
        <v>340</v>
      </c>
      <c r="C53" s="259" t="s">
        <v>157</v>
      </c>
      <c r="D53" s="260" t="s">
        <v>296</v>
      </c>
      <c r="E53" s="260">
        <v>15</v>
      </c>
      <c r="F53" s="261">
        <f>G53/E53</f>
        <v>80</v>
      </c>
      <c r="G53" s="262">
        <v>1200</v>
      </c>
      <c r="H53" s="159"/>
      <c r="I53" s="155"/>
      <c r="J53" s="155"/>
      <c r="K53" s="155"/>
      <c r="L53" s="155"/>
      <c r="M53" s="155"/>
      <c r="N53" s="153"/>
      <c r="O53" s="158"/>
      <c r="P53" s="153"/>
      <c r="Q53" s="153"/>
      <c r="R53" s="153"/>
      <c r="S53" s="153"/>
      <c r="T53" s="157"/>
      <c r="U53" s="153"/>
      <c r="V53" s="153"/>
      <c r="W53" s="153"/>
      <c r="X53" s="153"/>
      <c r="Y53" s="153"/>
      <c r="Z53" s="156"/>
      <c r="AA53" s="153"/>
      <c r="AB53" s="153"/>
      <c r="AC53" s="153"/>
      <c r="AD53" s="155"/>
      <c r="AE53" s="155"/>
      <c r="AF53" s="154"/>
      <c r="AG53" s="153"/>
      <c r="AH53" s="153"/>
      <c r="AI53" s="153"/>
      <c r="AJ53" s="47"/>
    </row>
    <row r="54" spans="1:36" ht="26.25" customHeight="1" thickBot="1" x14ac:dyDescent="0.25">
      <c r="A54" s="434" t="s">
        <v>17</v>
      </c>
      <c r="B54" s="372"/>
      <c r="C54" s="372"/>
      <c r="D54" s="372"/>
      <c r="E54" s="372"/>
      <c r="F54" s="61"/>
      <c r="G54" s="191">
        <f>SUM(G49:G53)</f>
        <v>7727</v>
      </c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</row>
    <row r="55" spans="1:36" ht="13.5" thickTop="1" x14ac:dyDescent="0.2">
      <c r="A55" s="47"/>
      <c r="B55" s="47"/>
      <c r="C55" s="55"/>
      <c r="D55" s="47"/>
      <c r="E55" s="47"/>
      <c r="F55" s="47"/>
      <c r="G55" s="18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</row>
    <row r="56" spans="1:36" x14ac:dyDescent="0.2">
      <c r="A56" s="47"/>
      <c r="B56" s="47"/>
      <c r="C56" s="55"/>
      <c r="D56" s="47"/>
      <c r="E56" s="47"/>
      <c r="F56" s="47"/>
      <c r="G56" s="18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</row>
    <row r="57" spans="1:36" x14ac:dyDescent="0.2">
      <c r="A57" s="47"/>
      <c r="B57" s="47"/>
      <c r="C57" s="55"/>
      <c r="D57" s="47"/>
      <c r="E57" s="47"/>
      <c r="F57" s="47"/>
      <c r="G57" s="18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</row>
    <row r="58" spans="1:36" ht="13.5" thickBot="1" x14ac:dyDescent="0.25">
      <c r="A58" s="58"/>
      <c r="B58" s="58"/>
      <c r="C58" s="59"/>
      <c r="D58" s="47"/>
      <c r="E58" s="47"/>
      <c r="F58" s="47"/>
      <c r="G58" s="187"/>
      <c r="H58" s="58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58"/>
    </row>
    <row r="59" spans="1:36" ht="15" customHeight="1" x14ac:dyDescent="0.2">
      <c r="A59" s="418" t="s">
        <v>455</v>
      </c>
      <c r="B59" s="418"/>
      <c r="C59" s="418"/>
      <c r="D59" s="47"/>
      <c r="E59" s="47"/>
      <c r="F59" s="47"/>
      <c r="G59" s="187"/>
      <c r="H59" s="435" t="s">
        <v>297</v>
      </c>
      <c r="I59" s="435"/>
      <c r="J59" s="435"/>
      <c r="K59" s="435"/>
      <c r="L59" s="435"/>
      <c r="M59" s="435"/>
      <c r="N59" s="435"/>
      <c r="O59" s="435"/>
      <c r="P59" s="435"/>
      <c r="Q59" s="435"/>
      <c r="R59" s="435"/>
      <c r="S59" s="435"/>
      <c r="T59" s="435"/>
      <c r="U59" s="435"/>
      <c r="V59" s="435"/>
      <c r="W59" s="435"/>
      <c r="X59" s="435"/>
      <c r="Y59" s="435"/>
      <c r="Z59" s="435"/>
      <c r="AA59" s="435"/>
      <c r="AB59" s="435"/>
      <c r="AC59" s="435"/>
      <c r="AD59" s="435"/>
      <c r="AE59" s="435"/>
      <c r="AF59" s="435"/>
      <c r="AG59" s="435"/>
      <c r="AH59" s="435"/>
      <c r="AI59" s="435"/>
      <c r="AJ59" s="435"/>
    </row>
    <row r="60" spans="1:36" ht="20.25" customHeight="1" x14ac:dyDescent="0.2">
      <c r="A60" s="425" t="s">
        <v>126</v>
      </c>
      <c r="B60" s="425"/>
      <c r="C60" s="425"/>
      <c r="D60" s="47"/>
      <c r="E60" s="47"/>
      <c r="F60" s="47"/>
      <c r="G60" s="187"/>
      <c r="H60" s="426" t="s">
        <v>98</v>
      </c>
      <c r="I60" s="426"/>
      <c r="J60" s="426"/>
      <c r="K60" s="426"/>
      <c r="L60" s="426"/>
      <c r="M60" s="426"/>
      <c r="N60" s="426"/>
      <c r="O60" s="426"/>
      <c r="P60" s="426"/>
      <c r="Q60" s="426"/>
      <c r="R60" s="426"/>
      <c r="S60" s="426"/>
      <c r="T60" s="426"/>
      <c r="U60" s="426"/>
      <c r="V60" s="426"/>
      <c r="W60" s="426"/>
      <c r="X60" s="426"/>
      <c r="Y60" s="426"/>
      <c r="Z60" s="426"/>
      <c r="AA60" s="426"/>
      <c r="AB60" s="426"/>
      <c r="AC60" s="426"/>
      <c r="AD60" s="426"/>
      <c r="AE60" s="426"/>
      <c r="AF60" s="426"/>
      <c r="AG60" s="426"/>
      <c r="AH60" s="426"/>
      <c r="AI60" s="426"/>
      <c r="AJ60" s="426"/>
    </row>
    <row r="61" spans="1:36" x14ac:dyDescent="0.2">
      <c r="D61" s="5"/>
      <c r="E61" s="5"/>
      <c r="F61" s="5"/>
      <c r="H61" s="5"/>
      <c r="I61" s="5"/>
    </row>
    <row r="62" spans="1:36" x14ac:dyDescent="0.2">
      <c r="D62" s="5"/>
      <c r="E62" s="5"/>
      <c r="F62" s="5"/>
      <c r="H62" s="5"/>
      <c r="I62" s="5"/>
    </row>
    <row r="63" spans="1:36" ht="15.75" x14ac:dyDescent="0.25">
      <c r="C63" s="35"/>
      <c r="D63" s="5"/>
      <c r="E63" s="5"/>
      <c r="F63" s="5"/>
      <c r="H63" s="5"/>
      <c r="I63" s="152"/>
    </row>
    <row r="64" spans="1:36" ht="15.75" x14ac:dyDescent="0.25">
      <c r="C64" s="35"/>
      <c r="D64" s="5"/>
      <c r="E64" s="5"/>
      <c r="F64" s="5"/>
      <c r="H64" s="5"/>
      <c r="I64" s="152"/>
    </row>
    <row r="65" spans="3:9" ht="15.75" x14ac:dyDescent="0.25">
      <c r="C65" s="35"/>
      <c r="D65" s="5"/>
      <c r="E65" s="5"/>
      <c r="F65" s="5"/>
      <c r="H65" s="5"/>
      <c r="I65" s="152"/>
    </row>
    <row r="66" spans="3:9" ht="15.75" x14ac:dyDescent="0.25">
      <c r="C66" s="35"/>
      <c r="D66" s="5"/>
      <c r="E66" s="5" t="s">
        <v>90</v>
      </c>
      <c r="F66" s="5" t="s">
        <v>90</v>
      </c>
      <c r="G66" s="192">
        <f>SUM(G49:G53)</f>
        <v>7727</v>
      </c>
      <c r="H66" s="5"/>
      <c r="I66" s="152"/>
    </row>
    <row r="69" spans="3:9" x14ac:dyDescent="0.2">
      <c r="E69" t="s">
        <v>289</v>
      </c>
      <c r="G69" s="192">
        <f>G66+G67:G67</f>
        <v>7727</v>
      </c>
    </row>
  </sheetData>
  <mergeCells count="19">
    <mergeCell ref="C3:H3"/>
    <mergeCell ref="A6:H6"/>
    <mergeCell ref="A7:A9"/>
    <mergeCell ref="C7:C9"/>
    <mergeCell ref="G7:G9"/>
    <mergeCell ref="H7:H9"/>
    <mergeCell ref="A60:C60"/>
    <mergeCell ref="H60:AJ60"/>
    <mergeCell ref="A22:F22"/>
    <mergeCell ref="A26:B26"/>
    <mergeCell ref="G26:H26"/>
    <mergeCell ref="A27:B27"/>
    <mergeCell ref="G27:H27"/>
    <mergeCell ref="A44:H44"/>
    <mergeCell ref="A45:H45"/>
    <mergeCell ref="H46:H48"/>
    <mergeCell ref="A54:E54"/>
    <mergeCell ref="A59:C59"/>
    <mergeCell ref="H59:AJ59"/>
  </mergeCells>
  <pageMargins left="0.70866141732283472" right="0.70866141732283472" top="0.74803149606299213" bottom="0.55118110236220474" header="0.31496062992125984" footer="0.31496062992125984"/>
  <pageSetup scale="78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2"/>
  <sheetViews>
    <sheetView showGridLines="0" zoomScale="84" zoomScaleNormal="84" workbookViewId="0">
      <selection activeCell="F1" sqref="F1:F1048576"/>
    </sheetView>
  </sheetViews>
  <sheetFormatPr baseColWidth="10" defaultColWidth="11.42578125" defaultRowHeight="14.25" x14ac:dyDescent="0.2"/>
  <cols>
    <col min="1" max="1" width="2.7109375" style="5" customWidth="1"/>
    <col min="2" max="3" width="4.5703125" style="5" customWidth="1"/>
    <col min="4" max="4" width="38.85546875" style="74" bestFit="1" customWidth="1"/>
    <col min="5" max="5" width="14.42578125" style="75" bestFit="1" customWidth="1"/>
    <col min="6" max="6" width="5" style="25" customWidth="1"/>
    <col min="7" max="7" width="10.28515625" style="25" customWidth="1"/>
    <col min="8" max="8" width="12.7109375" style="25" customWidth="1"/>
    <col min="9" max="9" width="9.7109375" style="145" customWidth="1"/>
    <col min="10" max="10" width="11.5703125" style="347" customWidth="1"/>
    <col min="11" max="11" width="11" style="25" customWidth="1"/>
    <col min="12" max="12" width="12.85546875" style="25" customWidth="1"/>
    <col min="13" max="13" width="30" style="25" customWidth="1"/>
    <col min="14" max="16384" width="11.42578125" style="5"/>
  </cols>
  <sheetData>
    <row r="1" spans="1:13" x14ac:dyDescent="0.2">
      <c r="B1" s="265"/>
      <c r="C1" s="311"/>
      <c r="D1" s="126"/>
      <c r="E1" s="127"/>
      <c r="F1" s="128"/>
      <c r="G1" s="128"/>
      <c r="H1" s="128"/>
      <c r="I1" s="312"/>
      <c r="J1" s="353"/>
      <c r="K1" s="128"/>
      <c r="L1" s="128"/>
      <c r="M1" s="129"/>
    </row>
    <row r="2" spans="1:13" ht="36" customHeight="1" x14ac:dyDescent="0.2">
      <c r="B2" s="313"/>
      <c r="C2" s="314"/>
      <c r="E2" s="376" t="s">
        <v>285</v>
      </c>
      <c r="F2" s="376"/>
      <c r="G2" s="376"/>
      <c r="H2" s="376"/>
      <c r="I2" s="376"/>
      <c r="J2" s="376"/>
      <c r="K2" s="131"/>
      <c r="L2" s="131"/>
      <c r="M2" s="132"/>
    </row>
    <row r="3" spans="1:13" x14ac:dyDescent="0.2">
      <c r="B3" s="313"/>
      <c r="C3" s="314"/>
      <c r="E3" s="133"/>
      <c r="F3" s="131"/>
      <c r="G3" s="131"/>
      <c r="H3" s="131"/>
      <c r="I3" s="315"/>
      <c r="J3" s="326"/>
      <c r="K3" s="131"/>
      <c r="L3" s="131"/>
      <c r="M3" s="132"/>
    </row>
    <row r="4" spans="1:13" x14ac:dyDescent="0.2">
      <c r="B4" s="313"/>
      <c r="C4" s="314"/>
      <c r="E4" s="133"/>
      <c r="F4" s="131"/>
      <c r="G4" s="131"/>
      <c r="H4" s="131"/>
      <c r="I4" s="315"/>
      <c r="J4" s="326"/>
      <c r="K4" s="131"/>
      <c r="L4" s="131"/>
      <c r="M4" s="132"/>
    </row>
    <row r="5" spans="1:13" ht="28.5" customHeight="1" x14ac:dyDescent="0.2">
      <c r="B5" s="134"/>
      <c r="C5" s="38"/>
      <c r="E5" s="376" t="s">
        <v>381</v>
      </c>
      <c r="F5" s="376"/>
      <c r="G5" s="376"/>
      <c r="H5" s="376"/>
      <c r="I5" s="376"/>
      <c r="J5" s="376"/>
      <c r="K5" s="378"/>
      <c r="L5" s="378"/>
      <c r="M5" s="379"/>
    </row>
    <row r="6" spans="1:13" ht="31.5" customHeight="1" thickBot="1" x14ac:dyDescent="0.25">
      <c r="B6" s="135"/>
      <c r="C6" s="38"/>
      <c r="D6" s="443" t="s">
        <v>480</v>
      </c>
      <c r="E6" s="443"/>
      <c r="F6" s="443"/>
      <c r="G6" s="443"/>
      <c r="H6" s="443"/>
      <c r="I6" s="443"/>
      <c r="J6" s="443"/>
      <c r="K6" s="136"/>
      <c r="L6" s="136"/>
      <c r="M6" s="137"/>
    </row>
    <row r="7" spans="1:13" s="29" customFormat="1" ht="37.5" customHeight="1" x14ac:dyDescent="0.2">
      <c r="A7" s="5"/>
      <c r="B7" s="100" t="s">
        <v>278</v>
      </c>
      <c r="C7" s="203" t="s">
        <v>340</v>
      </c>
      <c r="D7" s="101" t="s">
        <v>14</v>
      </c>
      <c r="E7" s="101" t="s">
        <v>273</v>
      </c>
      <c r="F7" s="101" t="s">
        <v>276</v>
      </c>
      <c r="G7" s="101" t="s">
        <v>277</v>
      </c>
      <c r="H7" s="102" t="s">
        <v>274</v>
      </c>
      <c r="I7" s="316" t="s">
        <v>290</v>
      </c>
      <c r="J7" s="101" t="s">
        <v>291</v>
      </c>
      <c r="K7" s="103" t="s">
        <v>275</v>
      </c>
      <c r="L7" s="103" t="s">
        <v>284</v>
      </c>
      <c r="M7" s="118" t="s">
        <v>283</v>
      </c>
    </row>
    <row r="8" spans="1:13" s="29" customFormat="1" ht="30" customHeight="1" x14ac:dyDescent="0.2">
      <c r="A8" s="5"/>
      <c r="B8" s="317">
        <v>1</v>
      </c>
      <c r="C8" s="318"/>
      <c r="D8" s="319" t="s">
        <v>398</v>
      </c>
      <c r="E8" s="92" t="s">
        <v>35</v>
      </c>
      <c r="F8" s="71">
        <v>15</v>
      </c>
      <c r="G8" s="320">
        <v>638.06640000000004</v>
      </c>
      <c r="H8" s="321">
        <f>ROUND(F8*G8,2)</f>
        <v>9571</v>
      </c>
      <c r="I8" s="351">
        <v>0</v>
      </c>
      <c r="J8" s="352">
        <f t="shared" ref="J8:J35" si="0">IF(G8&lt;=248.93,0,(IFERROR(IF(ROUND((((H8/F8*30.4)-VLOOKUP((H8/F8*30.4),TARIFA,1))*VLOOKUP((H8/F8*30.4),TARIFA,3)+VLOOKUP((H8/F8*30.4),TARIFA,2)-VLOOKUP((H8/F8*30.4),SUBSIDIO,2))/30.4*F8,2)&gt;0,ROUND((((H8/F8*30.4)-VLOOKUP((H8/F8*30.4),TARIFA,1))*VLOOKUP((H8/F8*30.4),TARIFA,3)+VLOOKUP((H8/F8*30.4),TARIFA,2)-VLOOKUP((H8/F8*30.4),SUBSIDIO,2))/30.4*F8,2),0),0)))</f>
        <v>1221.3399999999999</v>
      </c>
      <c r="K8" s="322">
        <f>J8</f>
        <v>1221.3399999999999</v>
      </c>
      <c r="L8" s="322">
        <f>H8+I8-K8</f>
        <v>8349.66</v>
      </c>
      <c r="M8" s="323"/>
    </row>
    <row r="9" spans="1:13" s="29" customFormat="1" ht="30" customHeight="1" x14ac:dyDescent="0.2">
      <c r="A9" s="5"/>
      <c r="B9" s="317">
        <v>2</v>
      </c>
      <c r="C9" s="318"/>
      <c r="D9" s="319" t="s">
        <v>382</v>
      </c>
      <c r="E9" s="92" t="s">
        <v>383</v>
      </c>
      <c r="F9" s="71">
        <v>15</v>
      </c>
      <c r="G9" s="320">
        <v>471.46640000000002</v>
      </c>
      <c r="H9" s="321">
        <f t="shared" ref="H9:H35" si="1">ROUND(F9*G9,2)</f>
        <v>7072</v>
      </c>
      <c r="I9" s="351">
        <v>0</v>
      </c>
      <c r="J9" s="352">
        <f t="shared" si="0"/>
        <v>707.16</v>
      </c>
      <c r="K9" s="322">
        <f t="shared" ref="K9:K35" si="2">J9</f>
        <v>707.16</v>
      </c>
      <c r="L9" s="322">
        <f t="shared" ref="L9:L35" si="3">H9+I9-K9</f>
        <v>6364.84</v>
      </c>
      <c r="M9" s="323"/>
    </row>
    <row r="10" spans="1:13" s="29" customFormat="1" ht="30" customHeight="1" x14ac:dyDescent="0.2">
      <c r="A10" s="5"/>
      <c r="B10" s="317">
        <v>3</v>
      </c>
      <c r="C10" s="318" t="s">
        <v>340</v>
      </c>
      <c r="D10" s="319" t="s">
        <v>385</v>
      </c>
      <c r="E10" s="92" t="s">
        <v>386</v>
      </c>
      <c r="F10" s="71">
        <v>15</v>
      </c>
      <c r="G10" s="320">
        <v>393.733</v>
      </c>
      <c r="H10" s="321">
        <f t="shared" si="1"/>
        <v>5906</v>
      </c>
      <c r="I10" s="351">
        <v>0</v>
      </c>
      <c r="J10" s="352">
        <f t="shared" si="0"/>
        <v>507.37</v>
      </c>
      <c r="K10" s="322">
        <f t="shared" si="2"/>
        <v>507.37</v>
      </c>
      <c r="L10" s="322">
        <f t="shared" si="3"/>
        <v>5398.63</v>
      </c>
      <c r="M10" s="323"/>
    </row>
    <row r="11" spans="1:13" s="29" customFormat="1" ht="30" customHeight="1" x14ac:dyDescent="0.2">
      <c r="A11" s="5"/>
      <c r="B11" s="317">
        <v>4</v>
      </c>
      <c r="C11" s="318"/>
      <c r="D11" s="319" t="s">
        <v>387</v>
      </c>
      <c r="E11" s="92" t="s">
        <v>386</v>
      </c>
      <c r="F11" s="71">
        <v>15</v>
      </c>
      <c r="G11" s="320">
        <v>393.733</v>
      </c>
      <c r="H11" s="321">
        <f t="shared" si="1"/>
        <v>5906</v>
      </c>
      <c r="I11" s="351">
        <v>0</v>
      </c>
      <c r="J11" s="352">
        <f t="shared" si="0"/>
        <v>507.37</v>
      </c>
      <c r="K11" s="322">
        <f t="shared" si="2"/>
        <v>507.37</v>
      </c>
      <c r="L11" s="322">
        <f t="shared" si="3"/>
        <v>5398.63</v>
      </c>
      <c r="M11" s="323"/>
    </row>
    <row r="12" spans="1:13" s="29" customFormat="1" ht="30" customHeight="1" x14ac:dyDescent="0.2">
      <c r="A12" s="5"/>
      <c r="B12" s="317">
        <v>5</v>
      </c>
      <c r="C12" s="318"/>
      <c r="D12" s="319" t="s">
        <v>388</v>
      </c>
      <c r="E12" s="92" t="s">
        <v>384</v>
      </c>
      <c r="F12" s="71">
        <v>15</v>
      </c>
      <c r="G12" s="320">
        <v>340</v>
      </c>
      <c r="H12" s="321">
        <f t="shared" si="1"/>
        <v>5100</v>
      </c>
      <c r="I12" s="351">
        <v>0</v>
      </c>
      <c r="J12" s="352">
        <f t="shared" si="0"/>
        <v>398.42</v>
      </c>
      <c r="K12" s="322">
        <f t="shared" si="2"/>
        <v>398.42</v>
      </c>
      <c r="L12" s="322">
        <f t="shared" si="3"/>
        <v>4701.58</v>
      </c>
      <c r="M12" s="323"/>
    </row>
    <row r="13" spans="1:13" s="81" customFormat="1" ht="30" customHeight="1" x14ac:dyDescent="0.2">
      <c r="A13" s="5"/>
      <c r="B13" s="317">
        <v>6</v>
      </c>
      <c r="C13" s="318" t="s">
        <v>340</v>
      </c>
      <c r="D13" s="319" t="s">
        <v>389</v>
      </c>
      <c r="E13" s="92" t="s">
        <v>384</v>
      </c>
      <c r="F13" s="71">
        <v>15</v>
      </c>
      <c r="G13" s="320">
        <v>340</v>
      </c>
      <c r="H13" s="321">
        <f t="shared" si="1"/>
        <v>5100</v>
      </c>
      <c r="I13" s="351">
        <v>0</v>
      </c>
      <c r="J13" s="352">
        <f t="shared" si="0"/>
        <v>398.42</v>
      </c>
      <c r="K13" s="322">
        <f t="shared" si="2"/>
        <v>398.42</v>
      </c>
      <c r="L13" s="322">
        <f t="shared" si="3"/>
        <v>4701.58</v>
      </c>
      <c r="M13" s="323"/>
    </row>
    <row r="14" spans="1:13" ht="30" customHeight="1" x14ac:dyDescent="0.2">
      <c r="B14" s="317">
        <v>7</v>
      </c>
      <c r="C14" s="318" t="s">
        <v>340</v>
      </c>
      <c r="D14" s="319" t="s">
        <v>390</v>
      </c>
      <c r="E14" s="92" t="s">
        <v>384</v>
      </c>
      <c r="F14" s="71">
        <v>15</v>
      </c>
      <c r="G14" s="320">
        <v>340</v>
      </c>
      <c r="H14" s="321">
        <f t="shared" si="1"/>
        <v>5100</v>
      </c>
      <c r="I14" s="351">
        <v>0</v>
      </c>
      <c r="J14" s="352">
        <f t="shared" si="0"/>
        <v>398.42</v>
      </c>
      <c r="K14" s="322">
        <f t="shared" si="2"/>
        <v>398.42</v>
      </c>
      <c r="L14" s="322">
        <f t="shared" si="3"/>
        <v>4701.58</v>
      </c>
      <c r="M14" s="323"/>
    </row>
    <row r="15" spans="1:13" s="29" customFormat="1" ht="30" customHeight="1" x14ac:dyDescent="0.2">
      <c r="A15" s="5"/>
      <c r="B15" s="317">
        <v>8</v>
      </c>
      <c r="C15" s="318" t="s">
        <v>340</v>
      </c>
      <c r="D15" s="319" t="s">
        <v>391</v>
      </c>
      <c r="E15" s="92" t="s">
        <v>392</v>
      </c>
      <c r="F15" s="63">
        <v>15</v>
      </c>
      <c r="G15" s="324">
        <v>220.8664</v>
      </c>
      <c r="H15" s="321">
        <f t="shared" si="1"/>
        <v>3313</v>
      </c>
      <c r="I15" s="351">
        <v>0</v>
      </c>
      <c r="J15" s="351">
        <f t="shared" si="0"/>
        <v>0</v>
      </c>
      <c r="K15" s="322">
        <f t="shared" si="2"/>
        <v>0</v>
      </c>
      <c r="L15" s="322">
        <f t="shared" si="3"/>
        <v>3313</v>
      </c>
      <c r="M15" s="323"/>
    </row>
    <row r="16" spans="1:13" s="29" customFormat="1" ht="30" customHeight="1" x14ac:dyDescent="0.2">
      <c r="A16" s="5"/>
      <c r="B16" s="317">
        <v>9</v>
      </c>
      <c r="C16" s="318"/>
      <c r="D16" s="319" t="s">
        <v>393</v>
      </c>
      <c r="E16" s="92" t="s">
        <v>394</v>
      </c>
      <c r="F16" s="71">
        <v>15</v>
      </c>
      <c r="G16" s="320">
        <v>340</v>
      </c>
      <c r="H16" s="321">
        <f t="shared" si="1"/>
        <v>5100</v>
      </c>
      <c r="I16" s="351">
        <v>0</v>
      </c>
      <c r="J16" s="352">
        <f t="shared" si="0"/>
        <v>398.42</v>
      </c>
      <c r="K16" s="322">
        <f t="shared" si="2"/>
        <v>398.42</v>
      </c>
      <c r="L16" s="322">
        <f t="shared" si="3"/>
        <v>4701.58</v>
      </c>
      <c r="M16" s="323"/>
    </row>
    <row r="17" spans="1:13" s="29" customFormat="1" ht="30" customHeight="1" x14ac:dyDescent="0.2">
      <c r="A17" s="5"/>
      <c r="B17" s="317">
        <v>10</v>
      </c>
      <c r="C17" s="318" t="s">
        <v>340</v>
      </c>
      <c r="D17" s="319" t="s">
        <v>395</v>
      </c>
      <c r="E17" s="92" t="s">
        <v>384</v>
      </c>
      <c r="F17" s="71">
        <v>15</v>
      </c>
      <c r="G17" s="320">
        <v>340</v>
      </c>
      <c r="H17" s="321">
        <f t="shared" si="1"/>
        <v>5100</v>
      </c>
      <c r="I17" s="351">
        <v>0</v>
      </c>
      <c r="J17" s="352">
        <f t="shared" si="0"/>
        <v>398.42</v>
      </c>
      <c r="K17" s="322">
        <f t="shared" si="2"/>
        <v>398.42</v>
      </c>
      <c r="L17" s="322">
        <f t="shared" si="3"/>
        <v>4701.58</v>
      </c>
      <c r="M17" s="323"/>
    </row>
    <row r="18" spans="1:13" ht="30" customHeight="1" x14ac:dyDescent="0.2">
      <c r="B18" s="317">
        <v>11</v>
      </c>
      <c r="C18" s="318"/>
      <c r="D18" s="325" t="s">
        <v>396</v>
      </c>
      <c r="E18" s="92" t="s">
        <v>384</v>
      </c>
      <c r="F18" s="71">
        <v>15</v>
      </c>
      <c r="G18" s="320">
        <v>340</v>
      </c>
      <c r="H18" s="321">
        <f t="shared" si="1"/>
        <v>5100</v>
      </c>
      <c r="I18" s="351">
        <v>0</v>
      </c>
      <c r="J18" s="352">
        <f t="shared" si="0"/>
        <v>398.42</v>
      </c>
      <c r="K18" s="322">
        <f t="shared" si="2"/>
        <v>398.42</v>
      </c>
      <c r="L18" s="322">
        <f t="shared" si="3"/>
        <v>4701.58</v>
      </c>
      <c r="M18" s="323"/>
    </row>
    <row r="19" spans="1:13" ht="30" customHeight="1" x14ac:dyDescent="0.2">
      <c r="B19" s="317">
        <v>12</v>
      </c>
      <c r="C19" s="318"/>
      <c r="D19" s="325" t="s">
        <v>439</v>
      </c>
      <c r="E19" s="92" t="s">
        <v>384</v>
      </c>
      <c r="F19" s="71">
        <v>15</v>
      </c>
      <c r="G19" s="320">
        <v>340</v>
      </c>
      <c r="H19" s="321">
        <f t="shared" si="1"/>
        <v>5100</v>
      </c>
      <c r="I19" s="351">
        <v>0</v>
      </c>
      <c r="J19" s="352">
        <f t="shared" si="0"/>
        <v>398.42</v>
      </c>
      <c r="K19" s="322">
        <f t="shared" si="2"/>
        <v>398.42</v>
      </c>
      <c r="L19" s="322">
        <f t="shared" si="3"/>
        <v>4701.58</v>
      </c>
      <c r="M19" s="323"/>
    </row>
    <row r="20" spans="1:13" ht="30" customHeight="1" x14ac:dyDescent="0.2">
      <c r="B20" s="317">
        <v>13</v>
      </c>
      <c r="C20" s="318" t="s">
        <v>340</v>
      </c>
      <c r="D20" s="325" t="s">
        <v>397</v>
      </c>
      <c r="E20" s="92" t="s">
        <v>384</v>
      </c>
      <c r="F20" s="71">
        <v>15</v>
      </c>
      <c r="G20" s="320">
        <v>340</v>
      </c>
      <c r="H20" s="321">
        <f t="shared" si="1"/>
        <v>5100</v>
      </c>
      <c r="I20" s="351">
        <v>0</v>
      </c>
      <c r="J20" s="352">
        <f t="shared" si="0"/>
        <v>398.42</v>
      </c>
      <c r="K20" s="322">
        <f t="shared" si="2"/>
        <v>398.42</v>
      </c>
      <c r="L20" s="322">
        <f t="shared" si="3"/>
        <v>4701.58</v>
      </c>
      <c r="M20" s="323"/>
    </row>
    <row r="21" spans="1:13" ht="30" customHeight="1" x14ac:dyDescent="0.2">
      <c r="B21" s="317">
        <v>14</v>
      </c>
      <c r="C21" s="318"/>
      <c r="D21" s="325" t="s">
        <v>399</v>
      </c>
      <c r="E21" s="92" t="s">
        <v>384</v>
      </c>
      <c r="F21" s="71">
        <v>15</v>
      </c>
      <c r="G21" s="320">
        <v>340</v>
      </c>
      <c r="H21" s="321">
        <f t="shared" si="1"/>
        <v>5100</v>
      </c>
      <c r="I21" s="351">
        <v>0</v>
      </c>
      <c r="J21" s="352">
        <f t="shared" si="0"/>
        <v>398.42</v>
      </c>
      <c r="K21" s="322">
        <f t="shared" si="2"/>
        <v>398.42</v>
      </c>
      <c r="L21" s="322">
        <f t="shared" si="3"/>
        <v>4701.58</v>
      </c>
      <c r="M21" s="323"/>
    </row>
    <row r="22" spans="1:13" s="29" customFormat="1" ht="30" customHeight="1" x14ac:dyDescent="0.2">
      <c r="A22" s="5"/>
      <c r="B22" s="317">
        <v>15</v>
      </c>
      <c r="C22" s="318" t="s">
        <v>340</v>
      </c>
      <c r="D22" s="319" t="s">
        <v>400</v>
      </c>
      <c r="E22" s="92" t="s">
        <v>384</v>
      </c>
      <c r="F22" s="71">
        <v>15</v>
      </c>
      <c r="G22" s="320">
        <v>340</v>
      </c>
      <c r="H22" s="321">
        <f t="shared" si="1"/>
        <v>5100</v>
      </c>
      <c r="I22" s="351">
        <v>0</v>
      </c>
      <c r="J22" s="352">
        <f t="shared" si="0"/>
        <v>398.42</v>
      </c>
      <c r="K22" s="322">
        <f t="shared" si="2"/>
        <v>398.42</v>
      </c>
      <c r="L22" s="322">
        <f t="shared" si="3"/>
        <v>4701.58</v>
      </c>
      <c r="M22" s="323"/>
    </row>
    <row r="23" spans="1:13" s="29" customFormat="1" ht="30" customHeight="1" x14ac:dyDescent="0.2">
      <c r="A23" s="5"/>
      <c r="B23" s="317">
        <v>16</v>
      </c>
      <c r="C23" s="318" t="s">
        <v>340</v>
      </c>
      <c r="D23" s="319" t="s">
        <v>401</v>
      </c>
      <c r="E23" s="92" t="s">
        <v>384</v>
      </c>
      <c r="F23" s="71">
        <v>15</v>
      </c>
      <c r="G23" s="320">
        <v>340</v>
      </c>
      <c r="H23" s="321">
        <f t="shared" si="1"/>
        <v>5100</v>
      </c>
      <c r="I23" s="351">
        <v>0</v>
      </c>
      <c r="J23" s="352">
        <f t="shared" si="0"/>
        <v>398.42</v>
      </c>
      <c r="K23" s="322">
        <f t="shared" si="2"/>
        <v>398.42</v>
      </c>
      <c r="L23" s="322">
        <f t="shared" si="3"/>
        <v>4701.58</v>
      </c>
      <c r="M23" s="323"/>
    </row>
    <row r="24" spans="1:13" s="29" customFormat="1" ht="30" customHeight="1" x14ac:dyDescent="0.2">
      <c r="A24" s="5"/>
      <c r="B24" s="317">
        <v>17</v>
      </c>
      <c r="C24" s="318" t="s">
        <v>340</v>
      </c>
      <c r="D24" s="319" t="s">
        <v>402</v>
      </c>
      <c r="E24" s="92" t="s">
        <v>384</v>
      </c>
      <c r="F24" s="71">
        <v>15</v>
      </c>
      <c r="G24" s="320">
        <v>340</v>
      </c>
      <c r="H24" s="321">
        <f t="shared" si="1"/>
        <v>5100</v>
      </c>
      <c r="I24" s="351">
        <v>0</v>
      </c>
      <c r="J24" s="352">
        <f t="shared" si="0"/>
        <v>398.42</v>
      </c>
      <c r="K24" s="322">
        <f t="shared" si="2"/>
        <v>398.42</v>
      </c>
      <c r="L24" s="322">
        <f t="shared" si="3"/>
        <v>4701.58</v>
      </c>
      <c r="M24" s="323"/>
    </row>
    <row r="25" spans="1:13" s="29" customFormat="1" ht="30" customHeight="1" x14ac:dyDescent="0.2">
      <c r="A25" s="5"/>
      <c r="B25" s="317">
        <v>18</v>
      </c>
      <c r="C25" s="318"/>
      <c r="D25" s="319" t="s">
        <v>403</v>
      </c>
      <c r="E25" s="92" t="s">
        <v>384</v>
      </c>
      <c r="F25" s="71">
        <v>15</v>
      </c>
      <c r="G25" s="320">
        <v>340</v>
      </c>
      <c r="H25" s="321">
        <f t="shared" si="1"/>
        <v>5100</v>
      </c>
      <c r="I25" s="351">
        <v>0</v>
      </c>
      <c r="J25" s="352">
        <f t="shared" si="0"/>
        <v>398.42</v>
      </c>
      <c r="K25" s="322">
        <f t="shared" si="2"/>
        <v>398.42</v>
      </c>
      <c r="L25" s="322">
        <f t="shared" si="3"/>
        <v>4701.58</v>
      </c>
      <c r="M25" s="323"/>
    </row>
    <row r="26" spans="1:13" s="29" customFormat="1" ht="30" customHeight="1" x14ac:dyDescent="0.2">
      <c r="A26" s="5"/>
      <c r="B26" s="317">
        <v>19</v>
      </c>
      <c r="C26" s="318" t="s">
        <v>340</v>
      </c>
      <c r="D26" s="319" t="s">
        <v>404</v>
      </c>
      <c r="E26" s="92" t="s">
        <v>384</v>
      </c>
      <c r="F26" s="71">
        <v>15</v>
      </c>
      <c r="G26" s="320">
        <v>340</v>
      </c>
      <c r="H26" s="321">
        <f t="shared" si="1"/>
        <v>5100</v>
      </c>
      <c r="I26" s="351">
        <v>0</v>
      </c>
      <c r="J26" s="352">
        <f t="shared" si="0"/>
        <v>398.42</v>
      </c>
      <c r="K26" s="322">
        <f t="shared" si="2"/>
        <v>398.42</v>
      </c>
      <c r="L26" s="322">
        <f t="shared" si="3"/>
        <v>4701.58</v>
      </c>
      <c r="M26" s="323"/>
    </row>
    <row r="27" spans="1:13" s="29" customFormat="1" ht="30" customHeight="1" x14ac:dyDescent="0.2">
      <c r="A27" s="5"/>
      <c r="B27" s="317">
        <v>20</v>
      </c>
      <c r="C27" s="318" t="s">
        <v>340</v>
      </c>
      <c r="D27" s="319" t="s">
        <v>443</v>
      </c>
      <c r="E27" s="92" t="s">
        <v>384</v>
      </c>
      <c r="F27" s="71">
        <v>15</v>
      </c>
      <c r="G27" s="320">
        <v>340</v>
      </c>
      <c r="H27" s="321">
        <f t="shared" ref="H27" si="4">ROUND(F27*G27,2)</f>
        <v>5100</v>
      </c>
      <c r="I27" s="351">
        <v>0</v>
      </c>
      <c r="J27" s="352">
        <f t="shared" ref="J27" si="5">IF(G27&lt;=248.93,0,(IFERROR(IF(ROUND((((H27/F27*30.4)-VLOOKUP((H27/F27*30.4),TARIFA,1))*VLOOKUP((H27/F27*30.4),TARIFA,3)+VLOOKUP((H27/F27*30.4),TARIFA,2)-VLOOKUP((H27/F27*30.4),SUBSIDIO,2))/30.4*F27,2)&gt;0,ROUND((((H27/F27*30.4)-VLOOKUP((H27/F27*30.4),TARIFA,1))*VLOOKUP((H27/F27*30.4),TARIFA,3)+VLOOKUP((H27/F27*30.4),TARIFA,2)-VLOOKUP((H27/F27*30.4),SUBSIDIO,2))/30.4*F27,2),0),0)))</f>
        <v>398.42</v>
      </c>
      <c r="K27" s="322">
        <f t="shared" ref="K27" si="6">J27</f>
        <v>398.42</v>
      </c>
      <c r="L27" s="322">
        <f t="shared" ref="L27" si="7">H27+I27-K27</f>
        <v>4701.58</v>
      </c>
      <c r="M27" s="323"/>
    </row>
    <row r="28" spans="1:13" s="29" customFormat="1" ht="30" customHeight="1" x14ac:dyDescent="0.2">
      <c r="A28" s="5"/>
      <c r="B28" s="317">
        <v>21</v>
      </c>
      <c r="C28" s="318" t="s">
        <v>340</v>
      </c>
      <c r="D28" s="319" t="s">
        <v>468</v>
      </c>
      <c r="E28" s="92" t="s">
        <v>384</v>
      </c>
      <c r="F28" s="71">
        <v>15</v>
      </c>
      <c r="G28" s="320">
        <v>340</v>
      </c>
      <c r="H28" s="321">
        <f t="shared" ref="H28" si="8">ROUND(F28*G28,2)</f>
        <v>5100</v>
      </c>
      <c r="I28" s="351">
        <v>0</v>
      </c>
      <c r="J28" s="352">
        <f t="shared" ref="J28" si="9">IF(G28&lt;=248.93,0,(IFERROR(IF(ROUND((((H28/F28*30.4)-VLOOKUP((H28/F28*30.4),TARIFA,1))*VLOOKUP((H28/F28*30.4),TARIFA,3)+VLOOKUP((H28/F28*30.4),TARIFA,2)-VLOOKUP((H28/F28*30.4),SUBSIDIO,2))/30.4*F28,2)&gt;0,ROUND((((H28/F28*30.4)-VLOOKUP((H28/F28*30.4),TARIFA,1))*VLOOKUP((H28/F28*30.4),TARIFA,3)+VLOOKUP((H28/F28*30.4),TARIFA,2)-VLOOKUP((H28/F28*30.4),SUBSIDIO,2))/30.4*F28,2),0),0)))</f>
        <v>398.42</v>
      </c>
      <c r="K28" s="322">
        <f t="shared" ref="K28" si="10">J28</f>
        <v>398.42</v>
      </c>
      <c r="L28" s="322">
        <f t="shared" ref="L28" si="11">H28+I28-K28</f>
        <v>4701.58</v>
      </c>
      <c r="M28" s="323"/>
    </row>
    <row r="29" spans="1:13" s="29" customFormat="1" ht="30" customHeight="1" x14ac:dyDescent="0.2">
      <c r="A29" s="5"/>
      <c r="B29" s="317">
        <v>22</v>
      </c>
      <c r="C29" s="318" t="s">
        <v>340</v>
      </c>
      <c r="D29" s="319" t="s">
        <v>474</v>
      </c>
      <c r="E29" s="92" t="s">
        <v>384</v>
      </c>
      <c r="F29" s="71">
        <v>15</v>
      </c>
      <c r="G29" s="320">
        <v>340</v>
      </c>
      <c r="H29" s="321">
        <f t="shared" ref="H29" si="12">ROUND(F29*G29,2)</f>
        <v>5100</v>
      </c>
      <c r="I29" s="351">
        <v>0</v>
      </c>
      <c r="J29" s="352">
        <f t="shared" ref="J29" si="13">IF(G29&lt;=248.93,0,(IFERROR(IF(ROUND((((H29/F29*30.4)-VLOOKUP((H29/F29*30.4),TARIFA,1))*VLOOKUP((H29/F29*30.4),TARIFA,3)+VLOOKUP((H29/F29*30.4),TARIFA,2)-VLOOKUP((H29/F29*30.4),SUBSIDIO,2))/30.4*F29,2)&gt;0,ROUND((((H29/F29*30.4)-VLOOKUP((H29/F29*30.4),TARIFA,1))*VLOOKUP((H29/F29*30.4),TARIFA,3)+VLOOKUP((H29/F29*30.4),TARIFA,2)-VLOOKUP((H29/F29*30.4),SUBSIDIO,2))/30.4*F29,2),0),0)))</f>
        <v>398.42</v>
      </c>
      <c r="K29" s="322">
        <f t="shared" ref="K29" si="14">J29</f>
        <v>398.42</v>
      </c>
      <c r="L29" s="322">
        <f t="shared" ref="L29" si="15">H29+I29-K29</f>
        <v>4701.58</v>
      </c>
      <c r="M29" s="323"/>
    </row>
    <row r="30" spans="1:13" s="29" customFormat="1" ht="30" customHeight="1" x14ac:dyDescent="0.2">
      <c r="A30" s="5"/>
      <c r="B30" s="317">
        <v>23</v>
      </c>
      <c r="C30" s="318" t="s">
        <v>340</v>
      </c>
      <c r="D30" s="319" t="s">
        <v>476</v>
      </c>
      <c r="E30" s="92" t="s">
        <v>384</v>
      </c>
      <c r="F30" s="71">
        <v>15</v>
      </c>
      <c r="G30" s="320">
        <v>340</v>
      </c>
      <c r="H30" s="321">
        <f t="shared" ref="H30" si="16">ROUND(F30*G30,2)</f>
        <v>5100</v>
      </c>
      <c r="I30" s="351">
        <v>0</v>
      </c>
      <c r="J30" s="352">
        <f t="shared" ref="J30" si="17">IF(G30&lt;=248.93,0,(IFERROR(IF(ROUND((((H30/F30*30.4)-VLOOKUP((H30/F30*30.4),TARIFA,1))*VLOOKUP((H30/F30*30.4),TARIFA,3)+VLOOKUP((H30/F30*30.4),TARIFA,2)-VLOOKUP((H30/F30*30.4),SUBSIDIO,2))/30.4*F30,2)&gt;0,ROUND((((H30/F30*30.4)-VLOOKUP((H30/F30*30.4),TARIFA,1))*VLOOKUP((H30/F30*30.4),TARIFA,3)+VLOOKUP((H30/F30*30.4),TARIFA,2)-VLOOKUP((H30/F30*30.4),SUBSIDIO,2))/30.4*F30,2),0),0)))</f>
        <v>398.42</v>
      </c>
      <c r="K30" s="322">
        <f t="shared" ref="K30" si="18">J30</f>
        <v>398.42</v>
      </c>
      <c r="L30" s="322">
        <f t="shared" ref="L30" si="19">H30+I30-K30</f>
        <v>4701.58</v>
      </c>
      <c r="M30" s="323"/>
    </row>
    <row r="31" spans="1:13" s="29" customFormat="1" ht="30" customHeight="1" x14ac:dyDescent="0.2">
      <c r="A31" s="5"/>
      <c r="B31" s="317">
        <v>24</v>
      </c>
      <c r="C31" s="318"/>
      <c r="D31" s="319" t="s">
        <v>447</v>
      </c>
      <c r="E31" s="92" t="s">
        <v>384</v>
      </c>
      <c r="F31" s="71">
        <v>15</v>
      </c>
      <c r="G31" s="320">
        <v>340</v>
      </c>
      <c r="H31" s="321">
        <f t="shared" ref="H31" si="20">ROUND(F31*G31,2)</f>
        <v>5100</v>
      </c>
      <c r="I31" s="351">
        <v>0</v>
      </c>
      <c r="J31" s="352">
        <f t="shared" ref="J31" si="21">IF(G31&lt;=248.93,0,(IFERROR(IF(ROUND((((H31/F31*30.4)-VLOOKUP((H31/F31*30.4),TARIFA,1))*VLOOKUP((H31/F31*30.4),TARIFA,3)+VLOOKUP((H31/F31*30.4),TARIFA,2)-VLOOKUP((H31/F31*30.4),SUBSIDIO,2))/30.4*F31,2)&gt;0,ROUND((((H31/F31*30.4)-VLOOKUP((H31/F31*30.4),TARIFA,1))*VLOOKUP((H31/F31*30.4),TARIFA,3)+VLOOKUP((H31/F31*30.4),TARIFA,2)-VLOOKUP((H31/F31*30.4),SUBSIDIO,2))/30.4*F31,2),0),0)))</f>
        <v>398.42</v>
      </c>
      <c r="K31" s="322">
        <f t="shared" ref="K31" si="22">J31</f>
        <v>398.42</v>
      </c>
      <c r="L31" s="322">
        <f t="shared" ref="L31" si="23">H31+I31-K31</f>
        <v>4701.58</v>
      </c>
      <c r="M31" s="323"/>
    </row>
    <row r="32" spans="1:13" s="29" customFormat="1" ht="30" customHeight="1" x14ac:dyDescent="0.2">
      <c r="A32" s="5"/>
      <c r="B32" s="317">
        <v>25</v>
      </c>
      <c r="C32" s="318"/>
      <c r="D32" s="319" t="s">
        <v>453</v>
      </c>
      <c r="E32" s="92" t="s">
        <v>384</v>
      </c>
      <c r="F32" s="71">
        <v>15</v>
      </c>
      <c r="G32" s="320">
        <v>340</v>
      </c>
      <c r="H32" s="321">
        <f t="shared" ref="H32:H33" si="24">ROUND(F32*G32,2)</f>
        <v>5100</v>
      </c>
      <c r="I32" s="351">
        <v>0</v>
      </c>
      <c r="J32" s="352">
        <f t="shared" ref="J32:J33" si="25">IF(G32&lt;=248.93,0,(IFERROR(IF(ROUND((((H32/F32*30.4)-VLOOKUP((H32/F32*30.4),TARIFA,1))*VLOOKUP((H32/F32*30.4),TARIFA,3)+VLOOKUP((H32/F32*30.4),TARIFA,2)-VLOOKUP((H32/F32*30.4),SUBSIDIO,2))/30.4*F32,2)&gt;0,ROUND((((H32/F32*30.4)-VLOOKUP((H32/F32*30.4),TARIFA,1))*VLOOKUP((H32/F32*30.4),TARIFA,3)+VLOOKUP((H32/F32*30.4),TARIFA,2)-VLOOKUP((H32/F32*30.4),SUBSIDIO,2))/30.4*F32,2),0),0)))</f>
        <v>398.42</v>
      </c>
      <c r="K32" s="322">
        <f t="shared" ref="K32:K33" si="26">J32</f>
        <v>398.42</v>
      </c>
      <c r="L32" s="322">
        <f t="shared" ref="L32:L33" si="27">H32+I32-K32</f>
        <v>4701.58</v>
      </c>
      <c r="M32" s="323"/>
    </row>
    <row r="33" spans="1:15" s="29" customFormat="1" ht="30" customHeight="1" x14ac:dyDescent="0.2">
      <c r="A33" s="5"/>
      <c r="B33" s="317">
        <v>26</v>
      </c>
      <c r="C33" s="318" t="s">
        <v>340</v>
      </c>
      <c r="D33" s="319" t="s">
        <v>483</v>
      </c>
      <c r="E33" s="92" t="s">
        <v>384</v>
      </c>
      <c r="F33" s="71">
        <v>9</v>
      </c>
      <c r="G33" s="320">
        <v>340</v>
      </c>
      <c r="H33" s="321">
        <f t="shared" si="24"/>
        <v>3060</v>
      </c>
      <c r="I33" s="351">
        <v>0</v>
      </c>
      <c r="J33" s="352">
        <f t="shared" si="25"/>
        <v>239.05</v>
      </c>
      <c r="K33" s="322">
        <f t="shared" si="26"/>
        <v>239.05</v>
      </c>
      <c r="L33" s="322">
        <f t="shared" si="27"/>
        <v>2820.95</v>
      </c>
      <c r="M33" s="323"/>
    </row>
    <row r="34" spans="1:15" s="29" customFormat="1" ht="30" customHeight="1" x14ac:dyDescent="0.2">
      <c r="A34" s="5"/>
      <c r="B34" s="317">
        <v>27</v>
      </c>
      <c r="C34" s="318" t="s">
        <v>340</v>
      </c>
      <c r="D34" s="319" t="s">
        <v>484</v>
      </c>
      <c r="E34" s="92" t="s">
        <v>384</v>
      </c>
      <c r="F34" s="71">
        <v>8</v>
      </c>
      <c r="G34" s="320">
        <v>340</v>
      </c>
      <c r="H34" s="321">
        <f t="shared" ref="H34" si="28">ROUND(F34*G34,2)</f>
        <v>2720</v>
      </c>
      <c r="I34" s="351">
        <v>0</v>
      </c>
      <c r="J34" s="352">
        <f t="shared" ref="J34" si="29">IF(G34&lt;=248.93,0,(IFERROR(IF(ROUND((((H34/F34*30.4)-VLOOKUP((H34/F34*30.4),TARIFA,1))*VLOOKUP((H34/F34*30.4),TARIFA,3)+VLOOKUP((H34/F34*30.4),TARIFA,2)-VLOOKUP((H34/F34*30.4),SUBSIDIO,2))/30.4*F34,2)&gt;0,ROUND((((H34/F34*30.4)-VLOOKUP((H34/F34*30.4),TARIFA,1))*VLOOKUP((H34/F34*30.4),TARIFA,3)+VLOOKUP((H34/F34*30.4),TARIFA,2)-VLOOKUP((H34/F34*30.4),SUBSIDIO,2))/30.4*F34,2),0),0)))</f>
        <v>212.49</v>
      </c>
      <c r="K34" s="322">
        <f t="shared" ref="K34" si="30">J34</f>
        <v>212.49</v>
      </c>
      <c r="L34" s="322">
        <f t="shared" ref="L34" si="31">H34+I34-K34</f>
        <v>2507.5100000000002</v>
      </c>
      <c r="M34" s="323"/>
    </row>
    <row r="35" spans="1:15" s="29" customFormat="1" ht="30" customHeight="1" x14ac:dyDescent="0.2">
      <c r="A35" s="5" t="s">
        <v>28</v>
      </c>
      <c r="B35" s="317">
        <v>28</v>
      </c>
      <c r="C35" s="318" t="s">
        <v>340</v>
      </c>
      <c r="D35" s="319" t="s">
        <v>485</v>
      </c>
      <c r="E35" s="92" t="s">
        <v>384</v>
      </c>
      <c r="F35" s="63">
        <v>9</v>
      </c>
      <c r="G35" s="324">
        <v>340</v>
      </c>
      <c r="H35" s="321">
        <f t="shared" si="1"/>
        <v>3060</v>
      </c>
      <c r="I35" s="351">
        <v>0</v>
      </c>
      <c r="J35" s="351">
        <f t="shared" si="0"/>
        <v>239.05</v>
      </c>
      <c r="K35" s="322">
        <f t="shared" si="2"/>
        <v>239.05</v>
      </c>
      <c r="L35" s="322">
        <f t="shared" si="3"/>
        <v>2820.95</v>
      </c>
      <c r="M35" s="323"/>
    </row>
    <row r="36" spans="1:15" s="29" customFormat="1" ht="30" customHeight="1" x14ac:dyDescent="0.2">
      <c r="A36" s="5" t="s">
        <v>28</v>
      </c>
      <c r="B36" s="317">
        <v>29</v>
      </c>
      <c r="C36" s="318"/>
      <c r="D36" s="319" t="s">
        <v>405</v>
      </c>
      <c r="E36" s="92" t="s">
        <v>54</v>
      </c>
      <c r="F36" s="63">
        <v>15</v>
      </c>
      <c r="G36" s="324">
        <v>112.505</v>
      </c>
      <c r="H36" s="321">
        <f t="shared" ref="H36" si="32">ROUND(F36*G36,2)</f>
        <v>1687.58</v>
      </c>
      <c r="I36" s="351">
        <v>0</v>
      </c>
      <c r="J36" s="351">
        <f t="shared" ref="J36" si="33">IF(G36&lt;=248.93,0,(IFERROR(IF(ROUND((((H36/F36*30.4)-VLOOKUP((H36/F36*30.4),TARIFA,1))*VLOOKUP((H36/F36*30.4),TARIFA,3)+VLOOKUP((H36/F36*30.4),TARIFA,2)-VLOOKUP((H36/F36*30.4),SUBSIDIO,2))/30.4*F36,2)&gt;0,ROUND((((H36/F36*30.4)-VLOOKUP((H36/F36*30.4),TARIFA,1))*VLOOKUP((H36/F36*30.4),TARIFA,3)+VLOOKUP((H36/F36*30.4),TARIFA,2)-VLOOKUP((H36/F36*30.4),SUBSIDIO,2))/30.4*F36,2),0),0)))</f>
        <v>0</v>
      </c>
      <c r="K36" s="322">
        <f t="shared" ref="K36" si="34">J36</f>
        <v>0</v>
      </c>
      <c r="L36" s="322">
        <f t="shared" ref="L36" si="35">H36+I36-K36</f>
        <v>1687.58</v>
      </c>
      <c r="M36" s="323"/>
    </row>
    <row r="37" spans="1:15" ht="24" customHeight="1" x14ac:dyDescent="0.2">
      <c r="B37" s="134"/>
      <c r="C37" s="38"/>
      <c r="E37" s="133"/>
      <c r="F37" s="326"/>
      <c r="G37" s="326"/>
      <c r="H37" s="327"/>
      <c r="I37" s="328"/>
      <c r="J37" s="327"/>
      <c r="K37" s="327"/>
      <c r="L37" s="327"/>
      <c r="M37" s="329"/>
    </row>
    <row r="38" spans="1:15" ht="24" customHeight="1" thickBot="1" x14ac:dyDescent="0.25">
      <c r="B38" s="444" t="s">
        <v>17</v>
      </c>
      <c r="C38" s="414"/>
      <c r="D38" s="414"/>
      <c r="E38" s="414"/>
      <c r="F38" s="414"/>
      <c r="G38" s="415"/>
      <c r="H38" s="330">
        <f>SUM(H8:H37)</f>
        <v>144295.57999999999</v>
      </c>
      <c r="I38" s="330">
        <f t="shared" ref="I38:L38" si="36">SUM(I8:I37)</f>
        <v>0</v>
      </c>
      <c r="J38" s="330">
        <f t="shared" si="36"/>
        <v>11602.23</v>
      </c>
      <c r="K38" s="330">
        <f t="shared" si="36"/>
        <v>11602.23</v>
      </c>
      <c r="L38" s="330">
        <f t="shared" si="36"/>
        <v>132693.35</v>
      </c>
      <c r="M38" s="331"/>
    </row>
    <row r="39" spans="1:15" ht="24" customHeight="1" thickTop="1" x14ac:dyDescent="0.2">
      <c r="B39" s="134"/>
      <c r="C39" s="38"/>
      <c r="E39" s="133"/>
      <c r="F39" s="326"/>
      <c r="G39" s="326"/>
      <c r="H39" s="326"/>
      <c r="I39" s="332"/>
      <c r="J39" s="326"/>
      <c r="K39" s="333"/>
      <c r="L39" s="326"/>
      <c r="M39" s="334"/>
    </row>
    <row r="40" spans="1:15" x14ac:dyDescent="0.2">
      <c r="B40" s="88"/>
      <c r="L40" s="335"/>
      <c r="M40" s="123"/>
    </row>
    <row r="41" spans="1:15" x14ac:dyDescent="0.2">
      <c r="B41" s="88"/>
      <c r="M41" s="123"/>
    </row>
    <row r="42" spans="1:15" x14ac:dyDescent="0.2">
      <c r="B42" s="88"/>
      <c r="M42" s="123"/>
    </row>
    <row r="43" spans="1:15" ht="18.75" customHeight="1" x14ac:dyDescent="0.2">
      <c r="B43" s="88"/>
      <c r="C43" s="375" t="s">
        <v>455</v>
      </c>
      <c r="D43" s="375"/>
      <c r="E43" s="5"/>
      <c r="F43" s="5"/>
      <c r="G43" s="5"/>
      <c r="H43" s="32"/>
      <c r="I43" s="32"/>
      <c r="J43" s="47"/>
      <c r="K43" s="375" t="s">
        <v>280</v>
      </c>
      <c r="L43" s="375"/>
      <c r="M43" s="445"/>
    </row>
    <row r="44" spans="1:15" ht="19.5" customHeight="1" thickBot="1" x14ac:dyDescent="0.25">
      <c r="B44" s="89"/>
      <c r="C44" s="90"/>
      <c r="D44" s="355" t="s">
        <v>126</v>
      </c>
      <c r="E44" s="355"/>
      <c r="F44" s="90"/>
      <c r="G44" s="90"/>
      <c r="H44" s="91"/>
      <c r="I44" s="91"/>
      <c r="J44" s="58"/>
      <c r="K44" s="391" t="s">
        <v>281</v>
      </c>
      <c r="L44" s="391"/>
      <c r="M44" s="392"/>
    </row>
    <row r="46" spans="1:15" x14ac:dyDescent="0.2">
      <c r="O46" s="308">
        <v>233266.39000000004</v>
      </c>
    </row>
    <row r="47" spans="1:15" x14ac:dyDescent="0.2">
      <c r="K47" s="25" t="s">
        <v>90</v>
      </c>
      <c r="L47" s="335">
        <f>L10+L13+L14+L15+L17+L20+L22+L23+L24+L26+L27+L28+L29+L30+L33+L34+L35</f>
        <v>73280.000000000015</v>
      </c>
    </row>
    <row r="49" spans="11:12" x14ac:dyDescent="0.2">
      <c r="K49" s="25" t="s">
        <v>91</v>
      </c>
      <c r="L49" s="335">
        <f>L8+L11+L16+L18+L21+L25+L31+L19+L9+L12+L32+L36</f>
        <v>59413.35000000002</v>
      </c>
    </row>
    <row r="50" spans="11:12" x14ac:dyDescent="0.2">
      <c r="L50" s="335">
        <f>L49+L47</f>
        <v>132693.35000000003</v>
      </c>
    </row>
    <row r="52" spans="11:12" x14ac:dyDescent="0.2">
      <c r="K52" s="25" t="s">
        <v>289</v>
      </c>
      <c r="L52" s="335">
        <f>L50-L38</f>
        <v>0</v>
      </c>
    </row>
  </sheetData>
  <mergeCells count="8">
    <mergeCell ref="K44:M44"/>
    <mergeCell ref="E2:J2"/>
    <mergeCell ref="E5:J5"/>
    <mergeCell ref="K5:M5"/>
    <mergeCell ref="D6:J6"/>
    <mergeCell ref="B38:G38"/>
    <mergeCell ref="K43:M43"/>
    <mergeCell ref="C43:D43"/>
  </mergeCells>
  <pageMargins left="0.7" right="0.7" top="0.75" bottom="0.75" header="0.3" footer="0.3"/>
  <pageSetup scale="66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6"/>
  <sheetViews>
    <sheetView showGridLines="0" tabSelected="1" topLeftCell="A7" zoomScale="87" zoomScaleNormal="87" workbookViewId="0">
      <selection activeCell="F7" sqref="F1:F1048576"/>
    </sheetView>
  </sheetViews>
  <sheetFormatPr baseColWidth="10" defaultColWidth="11.42578125" defaultRowHeight="15" x14ac:dyDescent="0.2"/>
  <cols>
    <col min="1" max="1" width="2.7109375" style="5" customWidth="1"/>
    <col min="2" max="3" width="4.5703125" style="5" customWidth="1"/>
    <col min="4" max="4" width="33.7109375" style="343" customWidth="1"/>
    <col min="5" max="5" width="12.85546875" style="347" customWidth="1"/>
    <col min="6" max="6" width="5.7109375" style="25" customWidth="1"/>
    <col min="7" max="7" width="8.5703125" style="25" customWidth="1"/>
    <col min="8" max="8" width="12.140625" style="25" customWidth="1"/>
    <col min="9" max="9" width="9.140625" style="145" customWidth="1"/>
    <col min="10" max="11" width="10.7109375" style="25" bestFit="1" customWidth="1"/>
    <col min="12" max="12" width="12.42578125" style="25" bestFit="1" customWidth="1"/>
    <col min="13" max="13" width="28.42578125" style="25" customWidth="1"/>
    <col min="14" max="16384" width="11.42578125" style="5"/>
  </cols>
  <sheetData>
    <row r="1" spans="1:13" ht="14.25" x14ac:dyDescent="0.2">
      <c r="B1" s="265"/>
      <c r="C1" s="311"/>
      <c r="D1" s="126"/>
      <c r="E1" s="127"/>
      <c r="F1" s="128"/>
      <c r="G1" s="128"/>
      <c r="H1" s="128"/>
      <c r="I1" s="312"/>
      <c r="J1" s="128"/>
      <c r="K1" s="128"/>
      <c r="L1" s="128"/>
      <c r="M1" s="129"/>
    </row>
    <row r="2" spans="1:13" ht="30" customHeight="1" x14ac:dyDescent="0.2">
      <c r="B2" s="313"/>
      <c r="C2" s="314"/>
      <c r="D2" s="74"/>
      <c r="E2" s="376" t="s">
        <v>285</v>
      </c>
      <c r="F2" s="376"/>
      <c r="G2" s="376"/>
      <c r="H2" s="376"/>
      <c r="I2" s="376"/>
      <c r="J2" s="376"/>
      <c r="K2" s="131"/>
      <c r="L2" s="131"/>
      <c r="M2" s="132"/>
    </row>
    <row r="3" spans="1:13" ht="30" customHeight="1" x14ac:dyDescent="0.2">
      <c r="B3" s="313"/>
      <c r="C3" s="314"/>
      <c r="D3" s="74"/>
      <c r="E3" s="133"/>
      <c r="F3" s="131"/>
      <c r="G3" s="131"/>
      <c r="H3" s="131"/>
      <c r="I3" s="315"/>
      <c r="J3" s="131"/>
      <c r="K3" s="131"/>
      <c r="L3" s="131"/>
      <c r="M3" s="132"/>
    </row>
    <row r="4" spans="1:13" ht="30" customHeight="1" x14ac:dyDescent="0.2">
      <c r="B4" s="313"/>
      <c r="C4" s="314"/>
      <c r="D4" s="74"/>
      <c r="E4" s="376" t="s">
        <v>406</v>
      </c>
      <c r="F4" s="376"/>
      <c r="G4" s="376"/>
      <c r="H4" s="376"/>
      <c r="I4" s="376"/>
      <c r="J4" s="376"/>
      <c r="K4" s="131"/>
      <c r="L4" s="131"/>
      <c r="M4" s="132"/>
    </row>
    <row r="5" spans="1:13" ht="31.5" customHeight="1" x14ac:dyDescent="0.2">
      <c r="B5" s="134"/>
      <c r="C5" s="38"/>
      <c r="D5" s="74"/>
      <c r="E5" s="350" t="s">
        <v>480</v>
      </c>
      <c r="F5" s="349"/>
      <c r="G5" s="349"/>
      <c r="H5" s="349"/>
      <c r="I5" s="349"/>
      <c r="J5" s="349"/>
      <c r="K5" s="378"/>
      <c r="L5" s="378"/>
      <c r="M5" s="379"/>
    </row>
    <row r="6" spans="1:13" ht="30" customHeight="1" thickBot="1" x14ac:dyDescent="0.25">
      <c r="B6" s="135"/>
      <c r="C6" s="46"/>
      <c r="D6" s="448" t="s">
        <v>407</v>
      </c>
      <c r="E6" s="448"/>
      <c r="F6" s="448"/>
      <c r="G6" s="448"/>
      <c r="H6" s="448"/>
      <c r="I6" s="448"/>
      <c r="J6" s="136"/>
      <c r="K6" s="136"/>
      <c r="L6" s="136"/>
      <c r="M6" s="137"/>
    </row>
    <row r="7" spans="1:13" ht="41.25" customHeight="1" x14ac:dyDescent="0.2">
      <c r="B7" s="100" t="s">
        <v>278</v>
      </c>
      <c r="C7" s="203" t="s">
        <v>340</v>
      </c>
      <c r="D7" s="101" t="s">
        <v>14</v>
      </c>
      <c r="E7" s="101" t="s">
        <v>273</v>
      </c>
      <c r="F7" s="101" t="s">
        <v>276</v>
      </c>
      <c r="G7" s="101" t="s">
        <v>277</v>
      </c>
      <c r="H7" s="102" t="s">
        <v>274</v>
      </c>
      <c r="I7" s="316" t="s">
        <v>290</v>
      </c>
      <c r="J7" s="101" t="s">
        <v>291</v>
      </c>
      <c r="K7" s="103" t="s">
        <v>275</v>
      </c>
      <c r="L7" s="103" t="s">
        <v>284</v>
      </c>
      <c r="M7" s="118" t="s">
        <v>283</v>
      </c>
    </row>
    <row r="8" spans="1:13" s="29" customFormat="1" ht="30" customHeight="1" x14ac:dyDescent="0.2">
      <c r="A8" s="5"/>
      <c r="B8" s="317">
        <v>1</v>
      </c>
      <c r="C8" s="318"/>
      <c r="D8" s="249" t="s">
        <v>408</v>
      </c>
      <c r="E8" s="336" t="s">
        <v>35</v>
      </c>
      <c r="F8" s="240">
        <v>15</v>
      </c>
      <c r="G8" s="337">
        <v>550</v>
      </c>
      <c r="H8" s="338">
        <f t="shared" ref="H8:H30" si="0">ROUND(F8*G8,2)</f>
        <v>8250</v>
      </c>
      <c r="I8" s="339">
        <v>0</v>
      </c>
      <c r="J8" s="337">
        <f t="shared" ref="J8:J30" si="1">IF(G8&lt;=248.93,0,(IFERROR(IF(ROUND((((H8/F8*30.4)-VLOOKUP((H8/F8*30.4),TARIFA,1))*VLOOKUP((H8/F8*30.4),TARIFA,3)+VLOOKUP((H8/F8*30.4),TARIFA,2)-VLOOKUP((H8/F8*30.4),SUBSIDIO,2))/30.4*F8,2)&gt;0,ROUND((((H8/F8*30.4)-VLOOKUP((H8/F8*30.4),TARIFA,1))*VLOOKUP((H8/F8*30.4),TARIFA,3)+VLOOKUP((H8/F8*30.4),TARIFA,2)-VLOOKUP((H8/F8*30.4),SUBSIDIO,2))/30.4*F8,2),0),0)))</f>
        <v>939.18</v>
      </c>
      <c r="K8" s="337">
        <f>J8</f>
        <v>939.18</v>
      </c>
      <c r="L8" s="337">
        <f>H8+I8-J8</f>
        <v>7310.82</v>
      </c>
      <c r="M8" s="340"/>
    </row>
    <row r="9" spans="1:13" s="29" customFormat="1" ht="30" customHeight="1" x14ac:dyDescent="0.2">
      <c r="A9" s="5"/>
      <c r="B9" s="317">
        <v>2</v>
      </c>
      <c r="C9" s="318" t="s">
        <v>340</v>
      </c>
      <c r="D9" s="249" t="s">
        <v>409</v>
      </c>
      <c r="E9" s="249" t="s">
        <v>410</v>
      </c>
      <c r="F9" s="240">
        <v>15</v>
      </c>
      <c r="G9" s="337">
        <v>381.6</v>
      </c>
      <c r="H9" s="338">
        <f t="shared" si="0"/>
        <v>5724</v>
      </c>
      <c r="I9" s="339">
        <v>0</v>
      </c>
      <c r="J9" s="337">
        <f t="shared" si="1"/>
        <v>478.25</v>
      </c>
      <c r="K9" s="337">
        <f t="shared" ref="K9:K28" si="2">J9</f>
        <v>478.25</v>
      </c>
      <c r="L9" s="337">
        <f t="shared" ref="L9:L28" si="3">H9+I9-J9</f>
        <v>5245.75</v>
      </c>
      <c r="M9" s="340"/>
    </row>
    <row r="10" spans="1:13" s="29" customFormat="1" ht="30" customHeight="1" x14ac:dyDescent="0.2">
      <c r="A10" s="5"/>
      <c r="B10" s="317">
        <v>3</v>
      </c>
      <c r="C10" s="318" t="s">
        <v>340</v>
      </c>
      <c r="D10" s="249" t="s">
        <v>411</v>
      </c>
      <c r="E10" s="249" t="s">
        <v>410</v>
      </c>
      <c r="F10" s="240">
        <v>15</v>
      </c>
      <c r="G10" s="337">
        <v>381.6</v>
      </c>
      <c r="H10" s="338">
        <f t="shared" si="0"/>
        <v>5724</v>
      </c>
      <c r="I10" s="339">
        <v>0</v>
      </c>
      <c r="J10" s="337">
        <f t="shared" si="1"/>
        <v>478.25</v>
      </c>
      <c r="K10" s="337">
        <f t="shared" si="2"/>
        <v>478.25</v>
      </c>
      <c r="L10" s="337">
        <f t="shared" si="3"/>
        <v>5245.75</v>
      </c>
      <c r="M10" s="340"/>
    </row>
    <row r="11" spans="1:13" s="29" customFormat="1" ht="30" customHeight="1" x14ac:dyDescent="0.2">
      <c r="A11" s="5"/>
      <c r="B11" s="317">
        <v>4</v>
      </c>
      <c r="C11" s="318" t="s">
        <v>340</v>
      </c>
      <c r="D11" s="249" t="s">
        <v>412</v>
      </c>
      <c r="E11" s="249" t="s">
        <v>40</v>
      </c>
      <c r="F11" s="240">
        <v>15</v>
      </c>
      <c r="G11" s="337">
        <v>360.8664</v>
      </c>
      <c r="H11" s="338">
        <f>ROUND(F11*G11,2)</f>
        <v>5413</v>
      </c>
      <c r="I11" s="339">
        <v>0</v>
      </c>
      <c r="J11" s="337">
        <f t="shared" si="1"/>
        <v>432.47</v>
      </c>
      <c r="K11" s="337">
        <f>J11</f>
        <v>432.47</v>
      </c>
      <c r="L11" s="337">
        <f>H11+I11-J11</f>
        <v>4980.53</v>
      </c>
      <c r="M11" s="340"/>
    </row>
    <row r="12" spans="1:13" s="29" customFormat="1" ht="30" customHeight="1" x14ac:dyDescent="0.2">
      <c r="A12" s="5"/>
      <c r="B12" s="317">
        <v>5</v>
      </c>
      <c r="C12" s="318"/>
      <c r="D12" s="249" t="s">
        <v>445</v>
      </c>
      <c r="E12" s="249" t="s">
        <v>442</v>
      </c>
      <c r="F12" s="240">
        <v>15</v>
      </c>
      <c r="G12" s="337">
        <v>360.8664</v>
      </c>
      <c r="H12" s="338">
        <f>ROUND(F12*G12,2)</f>
        <v>5413</v>
      </c>
      <c r="I12" s="339">
        <v>0</v>
      </c>
      <c r="J12" s="337">
        <f t="shared" ref="J12" si="4">IF(G12&lt;=248.93,0,(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))</f>
        <v>432.47</v>
      </c>
      <c r="K12" s="337">
        <f>J12</f>
        <v>432.47</v>
      </c>
      <c r="L12" s="337">
        <f>H12+I12-J12</f>
        <v>4980.53</v>
      </c>
      <c r="M12" s="340"/>
    </row>
    <row r="13" spans="1:13" s="29" customFormat="1" ht="30" customHeight="1" x14ac:dyDescent="0.2">
      <c r="A13" s="5"/>
      <c r="B13" s="317">
        <v>6</v>
      </c>
      <c r="C13" s="318"/>
      <c r="D13" s="249" t="s">
        <v>413</v>
      </c>
      <c r="E13" s="249" t="s">
        <v>414</v>
      </c>
      <c r="F13" s="240">
        <v>15</v>
      </c>
      <c r="G13" s="337">
        <v>360.8664</v>
      </c>
      <c r="H13" s="338">
        <f t="shared" si="0"/>
        <v>5413</v>
      </c>
      <c r="I13" s="339">
        <v>0</v>
      </c>
      <c r="J13" s="337">
        <f t="shared" si="1"/>
        <v>432.47</v>
      </c>
      <c r="K13" s="337">
        <f t="shared" si="2"/>
        <v>432.47</v>
      </c>
      <c r="L13" s="337">
        <f t="shared" si="3"/>
        <v>4980.53</v>
      </c>
      <c r="M13" s="340"/>
    </row>
    <row r="14" spans="1:13" ht="30" customHeight="1" x14ac:dyDescent="0.2">
      <c r="B14" s="317">
        <v>7</v>
      </c>
      <c r="C14" s="318" t="s">
        <v>340</v>
      </c>
      <c r="D14" s="249" t="s">
        <v>415</v>
      </c>
      <c r="E14" s="249" t="s">
        <v>414</v>
      </c>
      <c r="F14" s="240">
        <v>15</v>
      </c>
      <c r="G14" s="337">
        <v>360.8664</v>
      </c>
      <c r="H14" s="338">
        <f t="shared" si="0"/>
        <v>5413</v>
      </c>
      <c r="I14" s="339">
        <v>0</v>
      </c>
      <c r="J14" s="337">
        <f t="shared" si="1"/>
        <v>432.47</v>
      </c>
      <c r="K14" s="337">
        <f t="shared" si="2"/>
        <v>432.47</v>
      </c>
      <c r="L14" s="337">
        <f t="shared" si="3"/>
        <v>4980.53</v>
      </c>
      <c r="M14" s="340"/>
    </row>
    <row r="15" spans="1:13" ht="30" customHeight="1" x14ac:dyDescent="0.2">
      <c r="B15" s="317">
        <v>8</v>
      </c>
      <c r="C15" s="318" t="s">
        <v>340</v>
      </c>
      <c r="D15" s="249" t="s">
        <v>416</v>
      </c>
      <c r="E15" s="249" t="s">
        <v>414</v>
      </c>
      <c r="F15" s="240">
        <v>15</v>
      </c>
      <c r="G15" s="337">
        <v>360.8664</v>
      </c>
      <c r="H15" s="338">
        <f t="shared" si="0"/>
        <v>5413</v>
      </c>
      <c r="I15" s="339">
        <v>0</v>
      </c>
      <c r="J15" s="337">
        <f t="shared" si="1"/>
        <v>432.47</v>
      </c>
      <c r="K15" s="337">
        <f t="shared" si="2"/>
        <v>432.47</v>
      </c>
      <c r="L15" s="337">
        <f t="shared" si="3"/>
        <v>4980.53</v>
      </c>
      <c r="M15" s="340"/>
    </row>
    <row r="16" spans="1:13" ht="30" customHeight="1" x14ac:dyDescent="0.2">
      <c r="B16" s="317">
        <v>9</v>
      </c>
      <c r="C16" s="318"/>
      <c r="D16" s="249" t="s">
        <v>417</v>
      </c>
      <c r="E16" s="249" t="s">
        <v>414</v>
      </c>
      <c r="F16" s="240">
        <v>15</v>
      </c>
      <c r="G16" s="337">
        <v>360.8664</v>
      </c>
      <c r="H16" s="338">
        <f t="shared" si="0"/>
        <v>5413</v>
      </c>
      <c r="I16" s="339">
        <v>0</v>
      </c>
      <c r="J16" s="337">
        <f t="shared" si="1"/>
        <v>432.47</v>
      </c>
      <c r="K16" s="337">
        <f t="shared" si="2"/>
        <v>432.47</v>
      </c>
      <c r="L16" s="337">
        <f t="shared" si="3"/>
        <v>4980.53</v>
      </c>
      <c r="M16" s="340"/>
    </row>
    <row r="17" spans="2:13" ht="30" customHeight="1" x14ac:dyDescent="0.2">
      <c r="B17" s="317">
        <v>10</v>
      </c>
      <c r="C17" s="318" t="s">
        <v>340</v>
      </c>
      <c r="D17" s="249" t="s">
        <v>418</v>
      </c>
      <c r="E17" s="249" t="s">
        <v>414</v>
      </c>
      <c r="F17" s="240">
        <v>15</v>
      </c>
      <c r="G17" s="337">
        <v>360.8664</v>
      </c>
      <c r="H17" s="338">
        <f t="shared" si="0"/>
        <v>5413</v>
      </c>
      <c r="I17" s="339">
        <v>0</v>
      </c>
      <c r="J17" s="337">
        <f t="shared" si="1"/>
        <v>432.47</v>
      </c>
      <c r="K17" s="337">
        <f t="shared" si="2"/>
        <v>432.47</v>
      </c>
      <c r="L17" s="337">
        <f t="shared" si="3"/>
        <v>4980.53</v>
      </c>
      <c r="M17" s="340"/>
    </row>
    <row r="18" spans="2:13" ht="30" customHeight="1" x14ac:dyDescent="0.2">
      <c r="B18" s="317">
        <v>11</v>
      </c>
      <c r="C18" s="318"/>
      <c r="D18" s="249" t="s">
        <v>419</v>
      </c>
      <c r="E18" s="249" t="s">
        <v>414</v>
      </c>
      <c r="F18" s="240">
        <v>15</v>
      </c>
      <c r="G18" s="337">
        <v>360.8664</v>
      </c>
      <c r="H18" s="338">
        <f>ROUND(F18*G18,2)</f>
        <v>5413</v>
      </c>
      <c r="I18" s="339">
        <v>0</v>
      </c>
      <c r="J18" s="337">
        <f t="shared" si="1"/>
        <v>432.47</v>
      </c>
      <c r="K18" s="337">
        <f t="shared" si="2"/>
        <v>432.47</v>
      </c>
      <c r="L18" s="337">
        <f t="shared" si="3"/>
        <v>4980.53</v>
      </c>
      <c r="M18" s="340"/>
    </row>
    <row r="19" spans="2:13" ht="30" customHeight="1" x14ac:dyDescent="0.2">
      <c r="B19" s="317">
        <v>12</v>
      </c>
      <c r="C19" s="318"/>
      <c r="D19" s="249" t="s">
        <v>420</v>
      </c>
      <c r="E19" s="249" t="s">
        <v>414</v>
      </c>
      <c r="F19" s="240">
        <v>15</v>
      </c>
      <c r="G19" s="337">
        <v>360.8664</v>
      </c>
      <c r="H19" s="338">
        <f t="shared" si="0"/>
        <v>5413</v>
      </c>
      <c r="I19" s="339">
        <v>0</v>
      </c>
      <c r="J19" s="337">
        <f t="shared" si="1"/>
        <v>432.47</v>
      </c>
      <c r="K19" s="337">
        <f t="shared" si="2"/>
        <v>432.47</v>
      </c>
      <c r="L19" s="337">
        <f>H19+I19-J19</f>
        <v>4980.53</v>
      </c>
      <c r="M19" s="340"/>
    </row>
    <row r="20" spans="2:13" ht="30" customHeight="1" x14ac:dyDescent="0.2">
      <c r="B20" s="317">
        <v>13</v>
      </c>
      <c r="C20" s="318"/>
      <c r="D20" s="249" t="s">
        <v>421</v>
      </c>
      <c r="E20" s="249" t="s">
        <v>414</v>
      </c>
      <c r="F20" s="240">
        <v>15</v>
      </c>
      <c r="G20" s="337">
        <v>360.8664</v>
      </c>
      <c r="H20" s="338">
        <f t="shared" si="0"/>
        <v>5413</v>
      </c>
      <c r="I20" s="339">
        <v>0</v>
      </c>
      <c r="J20" s="337">
        <f t="shared" si="1"/>
        <v>432.47</v>
      </c>
      <c r="K20" s="337">
        <f t="shared" si="2"/>
        <v>432.47</v>
      </c>
      <c r="L20" s="337">
        <f t="shared" si="3"/>
        <v>4980.53</v>
      </c>
      <c r="M20" s="340"/>
    </row>
    <row r="21" spans="2:13" ht="30" customHeight="1" x14ac:dyDescent="0.2">
      <c r="B21" s="317">
        <v>14</v>
      </c>
      <c r="C21" s="318"/>
      <c r="D21" s="251" t="s">
        <v>422</v>
      </c>
      <c r="E21" s="249" t="s">
        <v>423</v>
      </c>
      <c r="F21" s="240">
        <v>15</v>
      </c>
      <c r="G21" s="337">
        <v>395.53300000000002</v>
      </c>
      <c r="H21" s="338">
        <f t="shared" si="0"/>
        <v>5933</v>
      </c>
      <c r="I21" s="339">
        <v>0</v>
      </c>
      <c r="J21" s="337">
        <f t="shared" si="1"/>
        <v>511.69</v>
      </c>
      <c r="K21" s="337">
        <f t="shared" si="2"/>
        <v>511.69</v>
      </c>
      <c r="L21" s="337">
        <f t="shared" si="3"/>
        <v>5421.31</v>
      </c>
      <c r="M21" s="340"/>
    </row>
    <row r="22" spans="2:13" ht="30" customHeight="1" x14ac:dyDescent="0.2">
      <c r="B22" s="317">
        <v>15</v>
      </c>
      <c r="C22" s="318" t="s">
        <v>340</v>
      </c>
      <c r="D22" s="251" t="s">
        <v>438</v>
      </c>
      <c r="E22" s="249" t="s">
        <v>414</v>
      </c>
      <c r="F22" s="240">
        <v>15</v>
      </c>
      <c r="G22" s="337">
        <v>360.8664</v>
      </c>
      <c r="H22" s="338">
        <f t="shared" si="0"/>
        <v>5413</v>
      </c>
      <c r="I22" s="339">
        <v>0</v>
      </c>
      <c r="J22" s="337">
        <f t="shared" si="1"/>
        <v>432.47</v>
      </c>
      <c r="K22" s="337">
        <f t="shared" si="2"/>
        <v>432.47</v>
      </c>
      <c r="L22" s="337">
        <f t="shared" si="3"/>
        <v>4980.53</v>
      </c>
      <c r="M22" s="340"/>
    </row>
    <row r="23" spans="2:13" ht="30" customHeight="1" x14ac:dyDescent="0.2">
      <c r="B23" s="317">
        <v>16</v>
      </c>
      <c r="C23" s="318"/>
      <c r="D23" s="251" t="s">
        <v>424</v>
      </c>
      <c r="E23" s="249" t="s">
        <v>414</v>
      </c>
      <c r="F23" s="240">
        <v>15</v>
      </c>
      <c r="G23" s="337">
        <v>360.8664</v>
      </c>
      <c r="H23" s="338">
        <f t="shared" si="0"/>
        <v>5413</v>
      </c>
      <c r="I23" s="339">
        <v>0</v>
      </c>
      <c r="J23" s="337">
        <f t="shared" si="1"/>
        <v>432.47</v>
      </c>
      <c r="K23" s="337">
        <f t="shared" si="2"/>
        <v>432.47</v>
      </c>
      <c r="L23" s="337">
        <f t="shared" si="3"/>
        <v>4980.53</v>
      </c>
      <c r="M23" s="340"/>
    </row>
    <row r="24" spans="2:13" ht="30" customHeight="1" x14ac:dyDescent="0.2">
      <c r="B24" s="317">
        <v>17</v>
      </c>
      <c r="C24" s="318" t="s">
        <v>340</v>
      </c>
      <c r="D24" s="251" t="s">
        <v>467</v>
      </c>
      <c r="E24" s="249" t="s">
        <v>414</v>
      </c>
      <c r="F24" s="240">
        <v>15</v>
      </c>
      <c r="G24" s="337">
        <v>360.8664</v>
      </c>
      <c r="H24" s="338">
        <f t="shared" si="0"/>
        <v>5413</v>
      </c>
      <c r="I24" s="339">
        <v>0</v>
      </c>
      <c r="J24" s="337">
        <f t="shared" si="1"/>
        <v>432.47</v>
      </c>
      <c r="K24" s="337">
        <f t="shared" si="2"/>
        <v>432.47</v>
      </c>
      <c r="L24" s="337">
        <f>H24+I24-J24</f>
        <v>4980.53</v>
      </c>
      <c r="M24" s="340"/>
    </row>
    <row r="25" spans="2:13" ht="36.6" customHeight="1" x14ac:dyDescent="0.2">
      <c r="B25" s="317">
        <v>18</v>
      </c>
      <c r="C25" s="318"/>
      <c r="D25" s="251" t="s">
        <v>425</v>
      </c>
      <c r="E25" s="249" t="s">
        <v>414</v>
      </c>
      <c r="F25" s="240">
        <v>15</v>
      </c>
      <c r="G25" s="337">
        <v>340</v>
      </c>
      <c r="H25" s="338">
        <f t="shared" si="0"/>
        <v>5100</v>
      </c>
      <c r="I25" s="339">
        <v>0</v>
      </c>
      <c r="J25" s="337">
        <f t="shared" si="1"/>
        <v>398.42</v>
      </c>
      <c r="K25" s="337">
        <v>398.42</v>
      </c>
      <c r="L25" s="337">
        <v>4526.91</v>
      </c>
      <c r="M25" s="340"/>
    </row>
    <row r="26" spans="2:13" ht="30" customHeight="1" x14ac:dyDescent="0.2">
      <c r="B26" s="317">
        <v>19</v>
      </c>
      <c r="C26" s="318"/>
      <c r="D26" s="251" t="s">
        <v>426</v>
      </c>
      <c r="E26" s="249" t="s">
        <v>427</v>
      </c>
      <c r="F26" s="240">
        <v>15</v>
      </c>
      <c r="G26" s="337">
        <v>340</v>
      </c>
      <c r="H26" s="338">
        <f t="shared" si="0"/>
        <v>5100</v>
      </c>
      <c r="I26" s="339">
        <v>0</v>
      </c>
      <c r="J26" s="337">
        <f t="shared" si="1"/>
        <v>398.42</v>
      </c>
      <c r="K26" s="337">
        <v>398.42</v>
      </c>
      <c r="L26" s="337">
        <f t="shared" si="3"/>
        <v>4701.58</v>
      </c>
      <c r="M26" s="340"/>
    </row>
    <row r="27" spans="2:13" ht="30" customHeight="1" x14ac:dyDescent="0.2">
      <c r="B27" s="317">
        <v>19</v>
      </c>
      <c r="C27" s="318" t="s">
        <v>340</v>
      </c>
      <c r="D27" s="251" t="s">
        <v>469</v>
      </c>
      <c r="E27" s="249" t="s">
        <v>54</v>
      </c>
      <c r="F27" s="240">
        <v>15</v>
      </c>
      <c r="G27" s="357">
        <v>153.333</v>
      </c>
      <c r="H27" s="338">
        <f t="shared" ref="H27" si="5">ROUND(F27*G27,2)</f>
        <v>2300</v>
      </c>
      <c r="I27" s="339">
        <v>0</v>
      </c>
      <c r="J27" s="339">
        <f t="shared" ref="J27" si="6">IF(G27&lt;=248.93,0,(IFERROR(IF(ROUND((((H27/F27*30.4)-VLOOKUP((H27/F27*30.4),TARIFA,1))*VLOOKUP((H27/F27*30.4),TARIFA,3)+VLOOKUP((H27/F27*30.4),TARIFA,2)-VLOOKUP((H27/F27*30.4),SUBSIDIO,2))/30.4*F27,2)&gt;0,ROUND((((H27/F27*30.4)-VLOOKUP((H27/F27*30.4),TARIFA,1))*VLOOKUP((H27/F27*30.4),TARIFA,3)+VLOOKUP((H27/F27*30.4),TARIFA,2)-VLOOKUP((H27/F27*30.4),SUBSIDIO,2))/30.4*F27,2),0),0)))</f>
        <v>0</v>
      </c>
      <c r="K27" s="339">
        <v>0</v>
      </c>
      <c r="L27" s="337">
        <f t="shared" ref="L27" si="7">H27+I27-J27</f>
        <v>2300</v>
      </c>
      <c r="M27" s="340"/>
    </row>
    <row r="28" spans="2:13" ht="29.45" customHeight="1" x14ac:dyDescent="0.2">
      <c r="B28" s="317">
        <v>20</v>
      </c>
      <c r="C28" s="318"/>
      <c r="D28" s="251" t="s">
        <v>428</v>
      </c>
      <c r="E28" s="249" t="s">
        <v>427</v>
      </c>
      <c r="F28" s="240">
        <v>15</v>
      </c>
      <c r="G28" s="337">
        <v>340</v>
      </c>
      <c r="H28" s="338">
        <f t="shared" si="0"/>
        <v>5100</v>
      </c>
      <c r="I28" s="339">
        <v>0</v>
      </c>
      <c r="J28" s="337">
        <f t="shared" si="1"/>
        <v>398.42</v>
      </c>
      <c r="K28" s="337">
        <f t="shared" si="2"/>
        <v>398.42</v>
      </c>
      <c r="L28" s="337">
        <f t="shared" si="3"/>
        <v>4701.58</v>
      </c>
      <c r="M28" s="340"/>
    </row>
    <row r="29" spans="2:13" ht="29.45" customHeight="1" x14ac:dyDescent="0.2">
      <c r="B29" s="317">
        <v>21</v>
      </c>
      <c r="C29" s="318" t="s">
        <v>340</v>
      </c>
      <c r="D29" s="251" t="s">
        <v>429</v>
      </c>
      <c r="E29" s="249" t="s">
        <v>427</v>
      </c>
      <c r="F29" s="240">
        <v>15</v>
      </c>
      <c r="G29" s="337">
        <v>340</v>
      </c>
      <c r="H29" s="338">
        <f t="shared" si="0"/>
        <v>5100</v>
      </c>
      <c r="I29" s="339">
        <v>0</v>
      </c>
      <c r="J29" s="337">
        <f t="shared" si="1"/>
        <v>398.42</v>
      </c>
      <c r="K29" s="337">
        <f>J29</f>
        <v>398.42</v>
      </c>
      <c r="L29" s="337">
        <f>H29+I29-J29</f>
        <v>4701.58</v>
      </c>
      <c r="M29" s="340"/>
    </row>
    <row r="30" spans="2:13" ht="29.45" customHeight="1" x14ac:dyDescent="0.2">
      <c r="B30" s="317">
        <v>22</v>
      </c>
      <c r="C30" s="318" t="s">
        <v>340</v>
      </c>
      <c r="D30" s="251" t="s">
        <v>430</v>
      </c>
      <c r="E30" s="249" t="s">
        <v>427</v>
      </c>
      <c r="F30" s="240">
        <v>15</v>
      </c>
      <c r="G30" s="337">
        <v>340</v>
      </c>
      <c r="H30" s="338">
        <f t="shared" si="0"/>
        <v>5100</v>
      </c>
      <c r="I30" s="339">
        <v>0</v>
      </c>
      <c r="J30" s="337">
        <f t="shared" si="1"/>
        <v>398.42</v>
      </c>
      <c r="K30" s="337">
        <f>J30</f>
        <v>398.42</v>
      </c>
      <c r="L30" s="337">
        <f>H30+I30-J30</f>
        <v>4701.58</v>
      </c>
      <c r="M30" s="340"/>
    </row>
    <row r="31" spans="2:13" ht="18" customHeight="1" x14ac:dyDescent="0.2">
      <c r="B31" s="449"/>
      <c r="C31" s="450"/>
      <c r="D31" s="450"/>
      <c r="E31" s="450"/>
      <c r="F31" s="450"/>
      <c r="G31" s="450"/>
      <c r="H31" s="450"/>
      <c r="I31" s="450"/>
      <c r="J31" s="450"/>
      <c r="K31" s="450"/>
      <c r="L31" s="450"/>
      <c r="M31" s="451"/>
    </row>
    <row r="32" spans="2:13" ht="18" customHeight="1" x14ac:dyDescent="0.2">
      <c r="B32" s="446" t="s">
        <v>17</v>
      </c>
      <c r="C32" s="415"/>
      <c r="D32" s="422"/>
      <c r="E32" s="422"/>
      <c r="F32" s="422"/>
      <c r="G32" s="422"/>
      <c r="H32" s="341">
        <f>SUM(H8:H30)</f>
        <v>123800</v>
      </c>
      <c r="I32" s="341">
        <f t="shared" ref="I32:L32" si="8">SUM(I8:I30)</f>
        <v>0</v>
      </c>
      <c r="J32" s="341">
        <f t="shared" si="8"/>
        <v>10021.580000000002</v>
      </c>
      <c r="K32" s="341">
        <f t="shared" si="8"/>
        <v>10021.580000000002</v>
      </c>
      <c r="L32" s="341">
        <f t="shared" si="8"/>
        <v>113603.75</v>
      </c>
      <c r="M32" s="342"/>
    </row>
    <row r="33" spans="1:13" ht="18" customHeight="1" x14ac:dyDescent="0.2">
      <c r="A33" s="5" t="s">
        <v>431</v>
      </c>
      <c r="B33" s="313"/>
      <c r="C33" s="314"/>
      <c r="E33" s="326"/>
      <c r="F33" s="131"/>
      <c r="G33" s="131"/>
      <c r="H33" s="131"/>
      <c r="I33" s="315"/>
      <c r="J33" s="131"/>
      <c r="K33" s="131"/>
      <c r="L33" s="131"/>
      <c r="M33" s="344"/>
    </row>
    <row r="34" spans="1:13" ht="12" customHeight="1" x14ac:dyDescent="0.2">
      <c r="A34" s="5" t="s">
        <v>28</v>
      </c>
      <c r="B34" s="313"/>
      <c r="C34" s="314"/>
      <c r="E34" s="326"/>
      <c r="F34" s="131"/>
      <c r="G34" s="131"/>
      <c r="H34" s="131"/>
      <c r="I34" s="315"/>
      <c r="J34" s="131"/>
      <c r="K34" s="131"/>
      <c r="L34" s="345"/>
      <c r="M34" s="346"/>
    </row>
    <row r="35" spans="1:13" x14ac:dyDescent="0.2">
      <c r="B35" s="88"/>
      <c r="M35" s="348"/>
    </row>
    <row r="36" spans="1:13" x14ac:dyDescent="0.2">
      <c r="B36" s="88"/>
      <c r="M36" s="123"/>
    </row>
    <row r="37" spans="1:13" x14ac:dyDescent="0.2">
      <c r="B37" s="88"/>
      <c r="M37" s="123"/>
    </row>
    <row r="38" spans="1:13" ht="13.5" x14ac:dyDescent="0.2">
      <c r="B38" s="88"/>
      <c r="D38" s="354" t="s">
        <v>455</v>
      </c>
      <c r="E38" s="5"/>
      <c r="F38" s="5"/>
      <c r="G38" s="5"/>
      <c r="H38" s="32"/>
      <c r="I38" s="32"/>
      <c r="J38" s="5"/>
      <c r="K38" s="375" t="s">
        <v>280</v>
      </c>
      <c r="L38" s="375"/>
      <c r="M38" s="445"/>
    </row>
    <row r="39" spans="1:13" ht="13.5" thickBot="1" x14ac:dyDescent="0.25">
      <c r="B39" s="89"/>
      <c r="C39" s="90"/>
      <c r="D39" s="447" t="s">
        <v>126</v>
      </c>
      <c r="E39" s="447"/>
      <c r="F39" s="90"/>
      <c r="G39" s="90"/>
      <c r="H39" s="91"/>
      <c r="I39" s="91"/>
      <c r="J39" s="90"/>
      <c r="K39" s="391" t="s">
        <v>281</v>
      </c>
      <c r="L39" s="391"/>
      <c r="M39" s="392"/>
    </row>
    <row r="41" spans="1:13" x14ac:dyDescent="0.2">
      <c r="K41" s="25" t="s">
        <v>90</v>
      </c>
      <c r="L41" s="144">
        <f>L9+L10+L11+L14+L15+L17+L22+L29+L30+L27+L24</f>
        <v>52077.84</v>
      </c>
    </row>
    <row r="43" spans="1:13" x14ac:dyDescent="0.2">
      <c r="K43" s="25" t="s">
        <v>91</v>
      </c>
      <c r="L43" s="144">
        <f>L8+L12+L13+L16+L18+L19+L23+L26+L28+L20+L21+L25</f>
        <v>61525.909999999989</v>
      </c>
    </row>
    <row r="44" spans="1:13" x14ac:dyDescent="0.2">
      <c r="L44" s="144">
        <f>L41+L43</f>
        <v>113603.74999999999</v>
      </c>
    </row>
    <row r="46" spans="1:13" x14ac:dyDescent="0.2">
      <c r="K46" s="25" t="s">
        <v>289</v>
      </c>
      <c r="L46" s="145">
        <f>L32-L44</f>
        <v>0</v>
      </c>
    </row>
  </sheetData>
  <mergeCells count="9">
    <mergeCell ref="B32:G32"/>
    <mergeCell ref="K38:M38"/>
    <mergeCell ref="D39:E39"/>
    <mergeCell ref="K39:M39"/>
    <mergeCell ref="E2:J2"/>
    <mergeCell ref="E4:J4"/>
    <mergeCell ref="K5:M5"/>
    <mergeCell ref="D6:I6"/>
    <mergeCell ref="B31:M31"/>
  </mergeCells>
  <printOptions horizontalCentered="1"/>
  <pageMargins left="0.7" right="0.7" top="0.75" bottom="0.75" header="0.3" footer="0.3"/>
  <pageSetup scale="70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tarifa</vt:lpstr>
      <vt:lpstr>REGIDORES</vt:lpstr>
      <vt:lpstr>BASE</vt:lpstr>
      <vt:lpstr>EVENTUALES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2024-06-14T19:16:03Z</cp:lastPrinted>
  <dcterms:created xsi:type="dcterms:W3CDTF">2000-05-05T04:08:27Z</dcterms:created>
  <dcterms:modified xsi:type="dcterms:W3CDTF">2024-08-08T15:39:54Z</dcterms:modified>
</cp:coreProperties>
</file>